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-75" windowWidth="14040" windowHeight="12465" activeTab="4"/>
  </bookViews>
  <sheets>
    <sheet name="1月" sheetId="14" r:id="rId1"/>
    <sheet name="2月" sheetId="1" r:id="rId2"/>
    <sheet name="3月" sheetId="2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 " sheetId="12" r:id="rId12"/>
  </sheets>
  <definedNames>
    <definedName name="_xlnm.Print_Area" localSheetId="9">'10月'!$A$1:$J$31</definedName>
    <definedName name="_xlnm.Print_Area" localSheetId="10">'11月'!$A$1:$J$39</definedName>
    <definedName name="_xlnm.Print_Area" localSheetId="11">'12月 '!$A$1:$J$44</definedName>
    <definedName name="_xlnm.Print_Area" localSheetId="0">'1月'!$A$1:$J$61</definedName>
    <definedName name="_xlnm.Print_Area" localSheetId="6">'7月'!$A$1:$J$28</definedName>
    <definedName name="_xlnm.Print_Area" localSheetId="8">'9月'!$A$1:$J$58</definedName>
    <definedName name="_xlnm.Print_Titles" localSheetId="9">'10月'!$1:$3</definedName>
    <definedName name="_xlnm.Print_Titles" localSheetId="10">'11月'!$1:$3</definedName>
    <definedName name="_xlnm.Print_Titles" localSheetId="11">'12月 '!$1:$3</definedName>
    <definedName name="_xlnm.Print_Titles" localSheetId="0">'1月'!$3:$3</definedName>
    <definedName name="_xlnm.Print_Titles" localSheetId="1">'2月'!$1:$3</definedName>
    <definedName name="_xlnm.Print_Titles" localSheetId="2">'3月'!$3:$3</definedName>
    <definedName name="_xlnm.Print_Titles" localSheetId="3">'4月'!$4:$4</definedName>
    <definedName name="_xlnm.Print_Titles" localSheetId="4">'5月'!$4:$4</definedName>
    <definedName name="_xlnm.Print_Titles" localSheetId="5">'6月'!$4:$4</definedName>
    <definedName name="_xlnm.Print_Titles" localSheetId="6">'7月'!$4:$4</definedName>
    <definedName name="_xlnm.Print_Titles" localSheetId="7">'8月'!$4:$4</definedName>
    <definedName name="_xlnm.Print_Titles" localSheetId="8">'9月'!$1:$3</definedName>
  </definedNames>
  <calcPr calcId="145621"/>
</workbook>
</file>

<file path=xl/calcChain.xml><?xml version="1.0" encoding="utf-8"?>
<calcChain xmlns="http://schemas.openxmlformats.org/spreadsheetml/2006/main">
  <c r="G36" i="2" l="1"/>
  <c r="G20" i="1" l="1"/>
  <c r="G17" i="1"/>
  <c r="G18" i="1"/>
  <c r="G16" i="1"/>
  <c r="G15" i="1"/>
  <c r="G13" i="1"/>
  <c r="G12" i="1"/>
  <c r="G11" i="1"/>
  <c r="G10" i="1"/>
  <c r="G9" i="1"/>
  <c r="G6" i="1"/>
  <c r="G5" i="1"/>
  <c r="G4" i="1"/>
  <c r="G50" i="14"/>
  <c r="G53" i="14"/>
  <c r="G58" i="14"/>
  <c r="G55" i="14"/>
  <c r="G44" i="14"/>
  <c r="G42" i="14"/>
  <c r="G41" i="14"/>
  <c r="G39" i="14"/>
  <c r="G35" i="14"/>
  <c r="G34" i="14"/>
  <c r="G33" i="14"/>
  <c r="G32" i="14"/>
  <c r="G31" i="14"/>
  <c r="G30" i="14"/>
  <c r="G28" i="14"/>
  <c r="G4" i="14"/>
  <c r="G27" i="14"/>
  <c r="G6" i="14"/>
  <c r="G41" i="12" l="1"/>
  <c r="G40" i="12"/>
  <c r="G37" i="12"/>
  <c r="G36" i="12"/>
  <c r="G35" i="12"/>
  <c r="G34" i="12"/>
  <c r="G28" i="12"/>
  <c r="G27" i="12"/>
  <c r="G26" i="12"/>
  <c r="G24" i="12"/>
  <c r="G23" i="12"/>
  <c r="G22" i="12"/>
  <c r="G20" i="12"/>
  <c r="G19" i="12"/>
  <c r="G18" i="12"/>
  <c r="G6" i="12"/>
  <c r="G5" i="12"/>
  <c r="G36" i="11"/>
  <c r="G35" i="11"/>
  <c r="G33" i="11"/>
  <c r="G32" i="11"/>
  <c r="G31" i="11"/>
  <c r="G29" i="11"/>
  <c r="G28" i="11"/>
  <c r="G27" i="11"/>
  <c r="G26" i="11"/>
  <c r="G25" i="11"/>
  <c r="G24" i="11"/>
  <c r="G22" i="11"/>
  <c r="G21" i="11"/>
  <c r="G20" i="11"/>
  <c r="G17" i="11"/>
  <c r="G16" i="11"/>
  <c r="G14" i="11"/>
  <c r="G13" i="11"/>
  <c r="G12" i="11"/>
  <c r="G11" i="11"/>
  <c r="G10" i="11"/>
  <c r="G9" i="11"/>
  <c r="G7" i="11"/>
  <c r="G6" i="11"/>
  <c r="G5" i="11"/>
  <c r="G27" i="10"/>
  <c r="G26" i="10"/>
  <c r="G25" i="10"/>
  <c r="G24" i="10"/>
  <c r="G22" i="10"/>
  <c r="G20" i="10"/>
  <c r="G19" i="10"/>
  <c r="G18" i="10"/>
  <c r="G16" i="10"/>
  <c r="G15" i="10"/>
  <c r="G14" i="10"/>
  <c r="G13" i="10"/>
  <c r="G11" i="10"/>
  <c r="G10" i="10"/>
  <c r="G9" i="10"/>
  <c r="G8" i="10"/>
  <c r="G7" i="10"/>
  <c r="G6" i="10"/>
  <c r="G5" i="10"/>
  <c r="G4" i="10"/>
  <c r="G54" i="9"/>
  <c r="G52" i="9"/>
  <c r="G53" i="9"/>
  <c r="G51" i="9"/>
  <c r="G50" i="9"/>
  <c r="G49" i="9"/>
  <c r="G48" i="9"/>
  <c r="G47" i="9"/>
  <c r="G46" i="9"/>
  <c r="G45" i="9"/>
  <c r="G43" i="9"/>
  <c r="G41" i="9"/>
  <c r="G42" i="9"/>
  <c r="G40" i="9"/>
  <c r="G39" i="9"/>
  <c r="G38" i="9"/>
  <c r="G37" i="9"/>
  <c r="G35" i="9"/>
  <c r="G34" i="9"/>
  <c r="G33" i="9"/>
  <c r="G32" i="9"/>
  <c r="G31" i="9"/>
  <c r="G30" i="9"/>
  <c r="G29" i="9"/>
  <c r="G28" i="9"/>
  <c r="G26" i="9"/>
  <c r="G25" i="9"/>
  <c r="G24" i="9"/>
  <c r="G22" i="9"/>
  <c r="G21" i="9"/>
  <c r="G19" i="9"/>
  <c r="G18" i="9"/>
  <c r="G17" i="9"/>
  <c r="G16" i="9"/>
  <c r="G15" i="9"/>
  <c r="G14" i="9"/>
  <c r="G13" i="9"/>
  <c r="G12" i="9"/>
  <c r="G11" i="9"/>
  <c r="G7" i="9"/>
  <c r="G6" i="9"/>
  <c r="G5" i="9"/>
  <c r="G4" i="9"/>
  <c r="G29" i="10" l="1"/>
  <c r="G79" i="8" l="1"/>
  <c r="G78" i="8"/>
  <c r="G77" i="8"/>
  <c r="G76" i="8"/>
  <c r="G75" i="8"/>
  <c r="G73" i="8"/>
  <c r="G72" i="8"/>
  <c r="G71" i="8"/>
  <c r="G70" i="8" l="1"/>
  <c r="G69" i="8"/>
  <c r="G68" i="8" l="1"/>
  <c r="G67" i="8"/>
  <c r="G66" i="8"/>
  <c r="G62" i="8"/>
  <c r="G57" i="8"/>
  <c r="G56" i="8"/>
  <c r="G54" i="8"/>
  <c r="G53" i="8"/>
  <c r="G49" i="8"/>
  <c r="G51" i="8"/>
  <c r="G50" i="8"/>
  <c r="G48" i="8"/>
  <c r="G47" i="8"/>
  <c r="G46" i="8"/>
  <c r="G41" i="8"/>
  <c r="G38" i="8"/>
  <c r="G37" i="8"/>
  <c r="G36" i="8"/>
  <c r="G35" i="8"/>
  <c r="G32" i="8"/>
  <c r="G31" i="8"/>
  <c r="G29" i="8"/>
  <c r="G28" i="8"/>
  <c r="G27" i="8"/>
  <c r="G26" i="8"/>
  <c r="G25" i="8"/>
  <c r="G24" i="8"/>
  <c r="G23" i="8"/>
  <c r="G22" i="8"/>
  <c r="G17" i="8"/>
  <c r="G8" i="8"/>
  <c r="G20" i="8"/>
  <c r="G19" i="8"/>
  <c r="G18" i="8"/>
  <c r="G15" i="8" l="1"/>
  <c r="G14" i="8"/>
  <c r="G13" i="8"/>
  <c r="G12" i="8"/>
  <c r="G11" i="8"/>
  <c r="G10" i="8"/>
  <c r="G9" i="8"/>
  <c r="G7" i="8"/>
  <c r="G6" i="8"/>
  <c r="G10" i="7"/>
  <c r="G24" i="7"/>
  <c r="G23" i="7"/>
  <c r="G22" i="7"/>
  <c r="G21" i="7"/>
  <c r="G20" i="7"/>
  <c r="G19" i="7"/>
  <c r="G18" i="7"/>
  <c r="G17" i="7"/>
  <c r="G12" i="7"/>
  <c r="G11" i="7"/>
  <c r="G16" i="7"/>
  <c r="G15" i="7"/>
  <c r="G14" i="7"/>
  <c r="G60" i="14" l="1"/>
  <c r="G56" i="9" l="1"/>
  <c r="G80" i="8" l="1"/>
  <c r="G42" i="12" l="1"/>
  <c r="G37" i="11" l="1"/>
  <c r="G26" i="7" l="1"/>
  <c r="G26" i="6" l="1"/>
  <c r="G25" i="5" l="1"/>
  <c r="G41" i="4" l="1"/>
  <c r="G22" i="1" l="1"/>
</calcChain>
</file>

<file path=xl/sharedStrings.xml><?xml version="1.0" encoding="utf-8"?>
<sst xmlns="http://schemas.openxmlformats.org/spreadsheetml/2006/main" count="2800" uniqueCount="1344">
  <si>
    <t>財團法人苗栗縣私立華嚴啟能中心</t>
  </si>
  <si>
    <t>收據編號</t>
  </si>
  <si>
    <t>日期</t>
  </si>
  <si>
    <t>捐贈者</t>
  </si>
  <si>
    <t>捐贈物品</t>
  </si>
  <si>
    <t>數量</t>
  </si>
  <si>
    <t>經手人</t>
  </si>
  <si>
    <t>估價</t>
  </si>
  <si>
    <t>領用人</t>
  </si>
  <si>
    <t>用  途</t>
  </si>
  <si>
    <t>備  註</t>
  </si>
  <si>
    <t>入庫</t>
  </si>
  <si>
    <t>羅瑞香</t>
    <phoneticPr fontId="4" type="noConversion"/>
  </si>
  <si>
    <t>院生3餐食用</t>
    <phoneticPr fontId="4" type="noConversion"/>
  </si>
  <si>
    <t>入庫</t>
    <phoneticPr fontId="4" type="noConversion"/>
  </si>
  <si>
    <t>院生使用</t>
    <phoneticPr fontId="4" type="noConversion"/>
  </si>
  <si>
    <t>院生3餐食用</t>
    <phoneticPr fontId="4" type="noConversion"/>
  </si>
  <si>
    <t>白米</t>
    <phoneticPr fontId="4" type="noConversion"/>
  </si>
  <si>
    <t xml:space="preserve">會計:             出納:              行政組長:               主任:               機構章:    </t>
    <phoneticPr fontId="4" type="noConversion"/>
  </si>
  <si>
    <t>總   計</t>
    <phoneticPr fontId="4" type="noConversion"/>
  </si>
  <si>
    <t>院生3餐食用</t>
    <phoneticPr fontId="4" type="noConversion"/>
  </si>
  <si>
    <t>餐廳</t>
    <phoneticPr fontId="4" type="noConversion"/>
  </si>
  <si>
    <t>餐廳.入庫</t>
    <phoneticPr fontId="4" type="noConversion"/>
  </si>
  <si>
    <t>院生食用</t>
    <phoneticPr fontId="4" type="noConversion"/>
  </si>
  <si>
    <t>行政組對獎</t>
    <phoneticPr fontId="4" type="noConversion"/>
  </si>
  <si>
    <t>辦公室</t>
    <phoneticPr fontId="4" type="noConversion"/>
  </si>
  <si>
    <t>餐廳、入庫</t>
    <phoneticPr fontId="4" type="noConversion"/>
  </si>
  <si>
    <t>院生3餐食用</t>
    <phoneticPr fontId="4" type="noConversion"/>
  </si>
  <si>
    <t>.</t>
    <phoneticPr fontId="4" type="noConversion"/>
  </si>
  <si>
    <t>總計:</t>
    <phoneticPr fontId="4" type="noConversion"/>
  </si>
  <si>
    <t>餐廳</t>
    <phoneticPr fontId="4" type="noConversion"/>
  </si>
  <si>
    <t>餐廳</t>
    <phoneticPr fontId="4" type="noConversion"/>
  </si>
  <si>
    <t>兌獎</t>
    <phoneticPr fontId="4" type="noConversion"/>
  </si>
  <si>
    <t>行政組</t>
    <phoneticPr fontId="4" type="noConversion"/>
  </si>
  <si>
    <t>入庫</t>
    <phoneticPr fontId="4" type="noConversion"/>
  </si>
  <si>
    <t>日清農業生技有限公司</t>
    <phoneticPr fontId="4" type="noConversion"/>
  </si>
  <si>
    <t>蔬菜</t>
    <phoneticPr fontId="4" type="noConversion"/>
  </si>
  <si>
    <t>邱仕傑</t>
    <phoneticPr fontId="4" type="noConversion"/>
  </si>
  <si>
    <t>院生食用、使用</t>
    <phoneticPr fontId="4" type="noConversion"/>
  </si>
  <si>
    <t>餐廳</t>
    <phoneticPr fontId="4" type="noConversion"/>
  </si>
  <si>
    <t>白米</t>
    <phoneticPr fontId="4" type="noConversion"/>
  </si>
  <si>
    <r>
      <t xml:space="preserve">院生3餐食用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標楷體"/>
        <family val="4"/>
        <charset val="136"/>
      </rPr>
      <t xml:space="preserve">院生使用                             </t>
    </r>
    <phoneticPr fontId="4" type="noConversion"/>
  </si>
  <si>
    <t>總計:</t>
  </si>
  <si>
    <t>餐廳</t>
    <phoneticPr fontId="4" type="noConversion"/>
  </si>
  <si>
    <t>院生食用</t>
    <phoneticPr fontId="4" type="noConversion"/>
  </si>
  <si>
    <t>彭勝熙</t>
    <phoneticPr fontId="4" type="noConversion"/>
  </si>
  <si>
    <t>10袋</t>
    <phoneticPr fontId="4" type="noConversion"/>
  </si>
  <si>
    <t>善心人士</t>
    <phoneticPr fontId="4" type="noConversion"/>
  </si>
  <si>
    <t>餐廳</t>
    <phoneticPr fontId="4" type="noConversion"/>
  </si>
  <si>
    <t>院生食用</t>
    <phoneticPr fontId="4" type="noConversion"/>
  </si>
  <si>
    <t>彭方俊</t>
    <phoneticPr fontId="4" type="noConversion"/>
  </si>
  <si>
    <t>衛生紙</t>
    <phoneticPr fontId="4" type="noConversion"/>
  </si>
  <si>
    <t>水餃</t>
    <phoneticPr fontId="4" type="noConversion"/>
  </si>
  <si>
    <t>楊淯晴</t>
    <phoneticPr fontId="4" type="noConversion"/>
  </si>
  <si>
    <t>水餃</t>
    <phoneticPr fontId="4" type="noConversion"/>
  </si>
  <si>
    <t>饅頭</t>
    <phoneticPr fontId="4" type="noConversion"/>
  </si>
  <si>
    <t>發票</t>
    <phoneticPr fontId="4" type="noConversion"/>
  </si>
  <si>
    <t>一批</t>
    <phoneticPr fontId="4" type="noConversion"/>
  </si>
  <si>
    <t>彭勝熙</t>
    <phoneticPr fontId="4" type="noConversion"/>
  </si>
  <si>
    <t>羅瑞香</t>
    <phoneticPr fontId="4" type="noConversion"/>
  </si>
  <si>
    <t>詹后尹</t>
    <phoneticPr fontId="4" type="noConversion"/>
  </si>
  <si>
    <t>童火生</t>
    <phoneticPr fontId="4" type="noConversion"/>
  </si>
  <si>
    <t>楊梅</t>
    <phoneticPr fontId="4" type="noConversion"/>
  </si>
  <si>
    <t>彭勝熙</t>
  </si>
  <si>
    <t>彭勝熙</t>
    <phoneticPr fontId="4" type="noConversion"/>
  </si>
  <si>
    <t>院生使用</t>
    <phoneticPr fontId="4" type="noConversion"/>
  </si>
  <si>
    <t>入庫</t>
    <phoneticPr fontId="4" type="noConversion"/>
  </si>
  <si>
    <t>108 年 7 月捐贈物資使用情形一覽表</t>
    <phoneticPr fontId="4" type="noConversion"/>
  </si>
  <si>
    <t>002870</t>
    <phoneticPr fontId="4" type="noConversion"/>
  </si>
  <si>
    <t>國全精密工業股份有限公司</t>
    <phoneticPr fontId="4" type="noConversion"/>
  </si>
  <si>
    <t>發票</t>
    <phoneticPr fontId="4" type="noConversion"/>
  </si>
  <si>
    <t>29張</t>
    <phoneticPr fontId="4" type="noConversion"/>
  </si>
  <si>
    <t>002871</t>
    <phoneticPr fontId="4" type="noConversion"/>
  </si>
  <si>
    <t>偉昌電氣工程有限公司</t>
    <phoneticPr fontId="4" type="noConversion"/>
  </si>
  <si>
    <t>11張</t>
    <phoneticPr fontId="4" type="noConversion"/>
  </si>
  <si>
    <t>002872</t>
    <phoneticPr fontId="4" type="noConversion"/>
  </si>
  <si>
    <t>苗強紙器有限公司</t>
    <phoneticPr fontId="4" type="noConversion"/>
  </si>
  <si>
    <t>24張</t>
    <phoneticPr fontId="4" type="noConversion"/>
  </si>
  <si>
    <t>行政組對獎</t>
  </si>
  <si>
    <t>辦公室</t>
  </si>
  <si>
    <t>002873</t>
    <phoneticPr fontId="4" type="noConversion"/>
  </si>
  <si>
    <t>7斤</t>
    <phoneticPr fontId="4" type="noConversion"/>
  </si>
  <si>
    <t>002874</t>
    <phoneticPr fontId="4" type="noConversion"/>
  </si>
  <si>
    <t>149包</t>
    <phoneticPr fontId="4" type="noConversion"/>
  </si>
  <si>
    <t>邱榮炘</t>
    <phoneticPr fontId="4" type="noConversion"/>
  </si>
  <si>
    <t>002875</t>
    <phoneticPr fontId="4" type="noConversion"/>
  </si>
  <si>
    <t>迦威實業股份有限公司</t>
    <phoneticPr fontId="4" type="noConversion"/>
  </si>
  <si>
    <t>洗髮精4000ml*5瓶.沐浴乳4000ml*5瓶.身體乳1800ml*6瓶</t>
    <phoneticPr fontId="4" type="noConversion"/>
  </si>
  <si>
    <t>002876</t>
    <phoneticPr fontId="4" type="noConversion"/>
  </si>
  <si>
    <t>香蕉</t>
    <phoneticPr fontId="4" type="noConversion"/>
  </si>
  <si>
    <t>27斤</t>
    <phoneticPr fontId="4" type="noConversion"/>
  </si>
  <si>
    <t>002877</t>
    <phoneticPr fontId="4" type="noConversion"/>
  </si>
  <si>
    <t>黃永明</t>
    <phoneticPr fontId="4" type="noConversion"/>
  </si>
  <si>
    <t>梨子</t>
    <phoneticPr fontId="4" type="noConversion"/>
  </si>
  <si>
    <t>37斤</t>
    <phoneticPr fontId="4" type="noConversion"/>
  </si>
  <si>
    <t>羅瑞香</t>
    <phoneticPr fontId="4" type="noConversion"/>
  </si>
  <si>
    <t>002878</t>
    <phoneticPr fontId="4" type="noConversion"/>
  </si>
  <si>
    <t>95包</t>
    <phoneticPr fontId="4" type="noConversion"/>
  </si>
  <si>
    <t>002879</t>
    <phoneticPr fontId="4" type="noConversion"/>
  </si>
  <si>
    <t>002880</t>
    <phoneticPr fontId="4" type="noConversion"/>
  </si>
  <si>
    <t>002881</t>
    <phoneticPr fontId="4" type="noConversion"/>
  </si>
  <si>
    <t>002882</t>
    <phoneticPr fontId="4" type="noConversion"/>
  </si>
  <si>
    <t>002883</t>
    <phoneticPr fontId="4" type="noConversion"/>
  </si>
  <si>
    <t>002884</t>
    <phoneticPr fontId="4" type="noConversion"/>
  </si>
  <si>
    <t>002885</t>
    <phoneticPr fontId="4" type="noConversion"/>
  </si>
  <si>
    <t>002886</t>
    <phoneticPr fontId="4" type="noConversion"/>
  </si>
  <si>
    <t>002887</t>
    <phoneticPr fontId="4" type="noConversion"/>
  </si>
  <si>
    <t>002888</t>
    <phoneticPr fontId="4" type="noConversion"/>
  </si>
  <si>
    <t>002889</t>
    <phoneticPr fontId="4" type="noConversion"/>
  </si>
  <si>
    <t>林美瑤</t>
  </si>
  <si>
    <t>勞保費率由9.5%提升10%，故勞保費增加，補扣1-2月勞保(581-555)*2=52</t>
  </si>
  <si>
    <t>吳玉玲</t>
  </si>
  <si>
    <t>勞保費率由9.5%提升10%，故勞保費增加，但領有輕度身心障礙手冊，故勞保有優惠。故退回溢收1-2月勞保費(555-476)*2=158，退回1-2月健保溢收(371-278)*2=186</t>
  </si>
  <si>
    <t>蔡嬌草</t>
  </si>
  <si>
    <t>勞保費率由9.5%提升10%，故勞保費增加，補扣1-2月勞保55元</t>
  </si>
  <si>
    <t>3月份</t>
    <phoneticPr fontId="13" type="noConversion"/>
  </si>
  <si>
    <t>退回勞保溢扣(476-436)*5=200</t>
    <phoneticPr fontId="15" type="noConversion"/>
  </si>
  <si>
    <t>6月份</t>
    <phoneticPr fontId="13" type="noConversion"/>
  </si>
  <si>
    <t>眷屬1人為輕度身障，健保補助102元，故健保費810-102=708</t>
    <phoneticPr fontId="15" type="noConversion"/>
  </si>
  <si>
    <t>7月</t>
    <phoneticPr fontId="13" type="noConversion"/>
  </si>
  <si>
    <t>72包</t>
    <phoneticPr fontId="4" type="noConversion"/>
  </si>
  <si>
    <t>台中應天宮</t>
    <phoneticPr fontId="4" type="noConversion"/>
  </si>
  <si>
    <t>白米</t>
    <phoneticPr fontId="4" type="noConversion"/>
  </si>
  <si>
    <t>186公斤</t>
    <phoneticPr fontId="4" type="noConversion"/>
  </si>
  <si>
    <t>30公斤</t>
    <phoneticPr fontId="4" type="noConversion"/>
  </si>
  <si>
    <t>50斤</t>
    <phoneticPr fontId="4" type="noConversion"/>
  </si>
  <si>
    <t>邱仕傑</t>
    <phoneticPr fontId="4" type="noConversion"/>
  </si>
  <si>
    <t>童火生</t>
    <phoneticPr fontId="4" type="noConversion"/>
  </si>
  <si>
    <t>香蕉</t>
    <phoneticPr fontId="4" type="noConversion"/>
  </si>
  <si>
    <t>21斤</t>
    <phoneticPr fontId="4" type="noConversion"/>
  </si>
  <si>
    <t>彭勝熙</t>
    <phoneticPr fontId="4" type="noConversion"/>
  </si>
  <si>
    <t>傅松峰</t>
    <phoneticPr fontId="4" type="noConversion"/>
  </si>
  <si>
    <t>火龍果</t>
    <phoneticPr fontId="4" type="noConversion"/>
  </si>
  <si>
    <t>26斤</t>
    <phoneticPr fontId="4" type="noConversion"/>
  </si>
  <si>
    <t>劉荐鴻</t>
    <phoneticPr fontId="4" type="noConversion"/>
  </si>
  <si>
    <t>蕭正元</t>
    <phoneticPr fontId="4" type="noConversion"/>
  </si>
  <si>
    <t>13斤</t>
    <phoneticPr fontId="4" type="noConversion"/>
  </si>
  <si>
    <t>楊朝欽、徐淑玲、傅湘琪、湯美珍、彭意順、劉景煒、吳美貞、陳芳瓊、羅麗花、陳春美</t>
    <phoneticPr fontId="4" type="noConversion"/>
  </si>
  <si>
    <t>水餃</t>
    <phoneticPr fontId="4" type="noConversion"/>
  </si>
  <si>
    <t>37包</t>
    <phoneticPr fontId="4" type="noConversion"/>
  </si>
  <si>
    <t>羅瑞香</t>
    <phoneticPr fontId="4" type="noConversion"/>
  </si>
  <si>
    <t>邱秀滿、蕭萬興</t>
    <phoneticPr fontId="4" type="noConversion"/>
  </si>
  <si>
    <t>水餃5包、浴廁劑24瓶</t>
    <phoneticPr fontId="4" type="noConversion"/>
  </si>
  <si>
    <t>頭份太極宮</t>
    <phoneticPr fontId="4" type="noConversion"/>
  </si>
  <si>
    <t>600公斤</t>
    <phoneticPr fontId="4" type="noConversion"/>
  </si>
  <si>
    <t>45包</t>
    <phoneticPr fontId="4" type="noConversion"/>
  </si>
  <si>
    <t>詹勳建</t>
    <phoneticPr fontId="4" type="noConversion"/>
  </si>
  <si>
    <t>120公斤</t>
    <phoneticPr fontId="4" type="noConversion"/>
  </si>
  <si>
    <t>餐廳
入庫</t>
    <phoneticPr fontId="4" type="noConversion"/>
  </si>
  <si>
    <t>院生3餐食用
院生使用</t>
    <phoneticPr fontId="4" type="noConversion"/>
  </si>
  <si>
    <t>龍聖宮</t>
    <phoneticPr fontId="4" type="noConversion"/>
  </si>
  <si>
    <t>白米100公斤、沙拉油99.4公升、油膏20.4公斤、麵56.4公斤、麥片22.5公斤、餅乾1批</t>
    <phoneticPr fontId="4" type="noConversion"/>
  </si>
  <si>
    <t>108 年 8月捐贈物資使用情形一覽表</t>
    <phoneticPr fontId="4" type="noConversion"/>
  </si>
  <si>
    <t>002890</t>
    <phoneticPr fontId="4" type="noConversion"/>
  </si>
  <si>
    <t>苗栗大明寺</t>
    <phoneticPr fontId="4" type="noConversion"/>
  </si>
  <si>
    <t>水果、壽桃一批</t>
    <phoneticPr fontId="4" type="noConversion"/>
  </si>
  <si>
    <t>楊淯晴</t>
    <phoneticPr fontId="4" type="noConversion"/>
  </si>
  <si>
    <t>002891</t>
    <phoneticPr fontId="4" type="noConversion"/>
  </si>
  <si>
    <t>90包</t>
    <phoneticPr fontId="4" type="noConversion"/>
  </si>
  <si>
    <t>邱仕傑</t>
    <phoneticPr fontId="4" type="noConversion"/>
  </si>
  <si>
    <t>002892</t>
    <phoneticPr fontId="4" type="noConversion"/>
  </si>
  <si>
    <t>三義三寶寺</t>
    <phoneticPr fontId="4" type="noConversion"/>
  </si>
  <si>
    <t>白米114公斤、礦泉水25.2公升、餅乾1批</t>
    <phoneticPr fontId="4" type="noConversion"/>
  </si>
  <si>
    <t>入庫</t>
    <phoneticPr fontId="4" type="noConversion"/>
  </si>
  <si>
    <t>002893</t>
  </si>
  <si>
    <t>002894</t>
  </si>
  <si>
    <t>002895</t>
  </si>
  <si>
    <t>002896</t>
  </si>
  <si>
    <t>002897</t>
  </si>
  <si>
    <t>002898</t>
  </si>
  <si>
    <t>002899</t>
  </si>
  <si>
    <t>002900</t>
  </si>
  <si>
    <t>002901</t>
  </si>
  <si>
    <t>吳吉申恩宮</t>
    <phoneticPr fontId="4" type="noConversion"/>
  </si>
  <si>
    <t>白米</t>
    <phoneticPr fontId="4" type="noConversion"/>
  </si>
  <si>
    <t>500斤</t>
    <phoneticPr fontId="4" type="noConversion"/>
  </si>
  <si>
    <t>謝清堂</t>
    <phoneticPr fontId="4" type="noConversion"/>
  </si>
  <si>
    <t>62包</t>
    <phoneticPr fontId="4" type="noConversion"/>
  </si>
  <si>
    <t>彭勝熙</t>
    <phoneticPr fontId="4" type="noConversion"/>
  </si>
  <si>
    <t>童火生</t>
    <phoneticPr fontId="4" type="noConversion"/>
  </si>
  <si>
    <t>香蕉</t>
    <phoneticPr fontId="4" type="noConversion"/>
  </si>
  <si>
    <t>15斤</t>
    <phoneticPr fontId="4" type="noConversion"/>
  </si>
  <si>
    <t>羅瑞香</t>
    <phoneticPr fontId="4" type="noConversion"/>
  </si>
  <si>
    <t>丁冠介</t>
    <phoneticPr fontId="4" type="noConversion"/>
  </si>
  <si>
    <t>火龍果10箱</t>
    <phoneticPr fontId="4" type="noConversion"/>
  </si>
  <si>
    <t>60公斤</t>
    <phoneticPr fontId="4" type="noConversion"/>
  </si>
  <si>
    <t>琉璃觀觀音佛祖</t>
    <phoneticPr fontId="4" type="noConversion"/>
  </si>
  <si>
    <t>泡麵13箱、賜福包18包、米粉380G*13包、醬油1000ML*16瓶、沙拉油1.8L*18瓶、沙士2L*12瓶、米酒550ML*6瓶、冬粉320G*14包、米2KG*21包、糖600G*12包、鹽1KG*12包</t>
    <phoneticPr fontId="4" type="noConversion"/>
  </si>
  <si>
    <t>無極凌雲宮</t>
    <phoneticPr fontId="4" type="noConversion"/>
  </si>
  <si>
    <t>米2.8KG*56包、冬粉90G*37包、麵條300G*91包、泡麵124包、餅乾69包、牛奶餅88包、沙拉油2L*2瓶、蠔油1.2L*2瓶、義美煎餅48包、可樂2箱、蘆筍汁2箱、維大力2箱、維他露P4箱</t>
    <phoneticPr fontId="4" type="noConversion"/>
  </si>
  <si>
    <t>同善寺</t>
    <phoneticPr fontId="4" type="noConversion"/>
  </si>
  <si>
    <t>餅乾六箱</t>
    <phoneticPr fontId="4" type="noConversion"/>
  </si>
  <si>
    <t>新埔北極殿</t>
    <phoneticPr fontId="4" type="noConversion"/>
  </si>
  <si>
    <t>麥片280G*20盒、炊粉220G*20包、米2KG*18包、沙士2L*20瓶、意麵1800G*20包、醬油410G*20瓶、糖600G*14包、鹽1KG*20包、綠豆100G*16包、餅乾一批</t>
    <phoneticPr fontId="4" type="noConversion"/>
  </si>
  <si>
    <t>作廢</t>
    <phoneticPr fontId="4" type="noConversion"/>
  </si>
  <si>
    <t>002902</t>
    <phoneticPr fontId="4" type="noConversion"/>
  </si>
  <si>
    <t>頭份無極九玄宮</t>
    <phoneticPr fontId="4" type="noConversion"/>
  </si>
  <si>
    <t>油36公升、醬油33.6公升、白米660斤、鳳梨一批、餅乾一批、糖果一批</t>
    <phoneticPr fontId="4" type="noConversion"/>
  </si>
  <si>
    <t>彭勝熙</t>
    <phoneticPr fontId="4" type="noConversion"/>
  </si>
  <si>
    <t>002903</t>
    <phoneticPr fontId="4" type="noConversion"/>
  </si>
  <si>
    <t>蓮臺山妙音淨苑</t>
    <phoneticPr fontId="4" type="noConversion"/>
  </si>
  <si>
    <t>醬油20公升、素蠔油24公升、沙士3箱</t>
    <phoneticPr fontId="4" type="noConversion"/>
  </si>
  <si>
    <t>楊淯晴</t>
    <phoneticPr fontId="4" type="noConversion"/>
  </si>
  <si>
    <t>002904</t>
    <phoneticPr fontId="4" type="noConversion"/>
  </si>
  <si>
    <t>善心人士</t>
    <phoneticPr fontId="4" type="noConversion"/>
  </si>
  <si>
    <t>醬油</t>
    <phoneticPr fontId="4" type="noConversion"/>
  </si>
  <si>
    <t>11.4公升</t>
    <phoneticPr fontId="4" type="noConversion"/>
  </si>
  <si>
    <t>邱仕傑</t>
    <phoneticPr fontId="4" type="noConversion"/>
  </si>
  <si>
    <t>002905</t>
    <phoneticPr fontId="4" type="noConversion"/>
  </si>
  <si>
    <t>善心人士</t>
    <phoneticPr fontId="4" type="noConversion"/>
  </si>
  <si>
    <t>牙膏30條、牙刷12支</t>
    <phoneticPr fontId="4" type="noConversion"/>
  </si>
  <si>
    <t>院生使用</t>
    <phoneticPr fontId="4" type="noConversion"/>
  </si>
  <si>
    <t>入庫</t>
    <phoneticPr fontId="4" type="noConversion"/>
  </si>
  <si>
    <t>002906</t>
    <phoneticPr fontId="4" type="noConversion"/>
  </si>
  <si>
    <t>作廢</t>
    <phoneticPr fontId="4" type="noConversion"/>
  </si>
  <si>
    <t>002907</t>
    <phoneticPr fontId="4" type="noConversion"/>
  </si>
  <si>
    <t>黃禮銘、黃育寬</t>
    <phoneticPr fontId="4" type="noConversion"/>
  </si>
  <si>
    <t>羅瑞香</t>
    <phoneticPr fontId="4" type="noConversion"/>
  </si>
  <si>
    <t>白米30斤、醬油9.6公升</t>
    <phoneticPr fontId="4" type="noConversion"/>
  </si>
  <si>
    <t>002908</t>
  </si>
  <si>
    <t>楊易鴻</t>
    <phoneticPr fontId="4" type="noConversion"/>
  </si>
  <si>
    <t>白米</t>
    <phoneticPr fontId="4" type="noConversion"/>
  </si>
  <si>
    <t>400斤</t>
    <phoneticPr fontId="4" type="noConversion"/>
  </si>
  <si>
    <t>002909</t>
  </si>
  <si>
    <t>葉月琴</t>
    <phoneticPr fontId="4" type="noConversion"/>
  </si>
  <si>
    <t>100斤</t>
    <phoneticPr fontId="4" type="noConversion"/>
  </si>
  <si>
    <t>002910</t>
  </si>
  <si>
    <t>五文宮管理委員會</t>
    <phoneticPr fontId="4" type="noConversion"/>
  </si>
  <si>
    <t>白米27公斤、面7.5公斤、麵線9.6公斤</t>
    <phoneticPr fontId="4" type="noConversion"/>
  </si>
  <si>
    <t>002911</t>
  </si>
  <si>
    <t>聖帝廟</t>
    <phoneticPr fontId="4" type="noConversion"/>
  </si>
  <si>
    <t>500斤</t>
    <phoneticPr fontId="4" type="noConversion"/>
  </si>
  <si>
    <t>002912</t>
  </si>
  <si>
    <t>002913</t>
  </si>
  <si>
    <t>002914</t>
  </si>
  <si>
    <t>002915</t>
  </si>
  <si>
    <t>002916</t>
  </si>
  <si>
    <t>大湖聖竹宮</t>
    <phoneticPr fontId="4" type="noConversion"/>
  </si>
  <si>
    <t>70公斤</t>
    <phoneticPr fontId="4" type="noConversion"/>
  </si>
  <si>
    <t>金善堂</t>
    <phoneticPr fontId="4" type="noConversion"/>
  </si>
  <si>
    <t>140公斤</t>
    <phoneticPr fontId="4" type="noConversion"/>
  </si>
  <si>
    <t>後龍中和慈聖宮</t>
    <phoneticPr fontId="4" type="noConversion"/>
  </si>
  <si>
    <t>白米180公斤、冬粉9公斤、米粉60公斤</t>
    <phoneticPr fontId="4" type="noConversion"/>
  </si>
  <si>
    <t>承天禪寺</t>
    <phoneticPr fontId="4" type="noConversion"/>
  </si>
  <si>
    <t>白米735.6公斤、米粉16.1公斤、油36公升、面53.9公斤、素料一批</t>
    <phoneticPr fontId="4" type="noConversion"/>
  </si>
  <si>
    <t>陳舉昆</t>
    <phoneticPr fontId="4" type="noConversion"/>
  </si>
  <si>
    <t>尿布一批</t>
    <phoneticPr fontId="4" type="noConversion"/>
  </si>
  <si>
    <t>詹后尹</t>
    <phoneticPr fontId="4" type="noConversion"/>
  </si>
  <si>
    <t>002917</t>
  </si>
  <si>
    <t>002918</t>
  </si>
  <si>
    <t>002919</t>
  </si>
  <si>
    <t>002920</t>
  </si>
  <si>
    <t>002921</t>
  </si>
  <si>
    <t>002922</t>
  </si>
  <si>
    <t>002923</t>
  </si>
  <si>
    <t>苑裡圓融精舍</t>
    <phoneticPr fontId="4" type="noConversion"/>
  </si>
  <si>
    <t>物資一批</t>
    <phoneticPr fontId="4" type="noConversion"/>
  </si>
  <si>
    <t>三峽長福巖清水祖師公</t>
    <phoneticPr fontId="4" type="noConversion"/>
  </si>
  <si>
    <t>白米350斤、麥片30公斤、面88.8公斤、米粉51公斤</t>
    <phoneticPr fontId="4" type="noConversion"/>
  </si>
  <si>
    <t>竹南廣興宮天陽媽祖</t>
    <phoneticPr fontId="4" type="noConversion"/>
  </si>
  <si>
    <t>白米36公斤、供品30盒</t>
    <phoneticPr fontId="4" type="noConversion"/>
  </si>
  <si>
    <t>白沙屯拱天宮</t>
    <phoneticPr fontId="4" type="noConversion"/>
  </si>
  <si>
    <t>物資一批</t>
    <phoneticPr fontId="4" type="noConversion"/>
  </si>
  <si>
    <t>趙慧穎</t>
    <phoneticPr fontId="4" type="noConversion"/>
  </si>
  <si>
    <t>吳海清</t>
    <phoneticPr fontId="4" type="noConversion"/>
  </si>
  <si>
    <t>002924</t>
  </si>
  <si>
    <t>002925</t>
  </si>
  <si>
    <t>卓蘭慈明宮</t>
    <phoneticPr fontId="4" type="noConversion"/>
  </si>
  <si>
    <t>吳坤榮</t>
    <phoneticPr fontId="4" type="noConversion"/>
  </si>
  <si>
    <t>十方圓通寺</t>
    <phoneticPr fontId="4" type="noConversion"/>
  </si>
  <si>
    <t>饅頭500顆、熟食一批</t>
    <phoneticPr fontId="4" type="noConversion"/>
  </si>
  <si>
    <t>002926</t>
  </si>
  <si>
    <t>002927</t>
  </si>
  <si>
    <t>002928</t>
  </si>
  <si>
    <t>002929</t>
  </si>
  <si>
    <t>002930</t>
  </si>
  <si>
    <t>饅頭500顆、熟食一批</t>
    <phoneticPr fontId="4" type="noConversion"/>
  </si>
  <si>
    <t>太平慈聖宮</t>
    <phoneticPr fontId="4" type="noConversion"/>
  </si>
  <si>
    <t>苑裡請聖先師廟</t>
    <phoneticPr fontId="4" type="noConversion"/>
  </si>
  <si>
    <t>111包</t>
    <phoneticPr fontId="4" type="noConversion"/>
  </si>
  <si>
    <t>中和金山禪寺</t>
    <phoneticPr fontId="4" type="noConversion"/>
  </si>
  <si>
    <t>香菇1斤、白米150斤、面4箱、素鬆1箱、素燥1箱、雪蓮子1箱、素珍菇1箱</t>
    <phoneticPr fontId="4" type="noConversion"/>
  </si>
  <si>
    <t>002931</t>
  </si>
  <si>
    <t>002932</t>
  </si>
  <si>
    <t>002933</t>
  </si>
  <si>
    <t>東嶽府</t>
    <phoneticPr fontId="4" type="noConversion"/>
  </si>
  <si>
    <t>60公斤</t>
    <phoneticPr fontId="4" type="noConversion"/>
  </si>
  <si>
    <t>002934</t>
  </si>
  <si>
    <t>002935</t>
  </si>
  <si>
    <t>002936</t>
  </si>
  <si>
    <t>002937</t>
  </si>
  <si>
    <t>002938</t>
  </si>
  <si>
    <t>002939</t>
  </si>
  <si>
    <t>002940</t>
  </si>
  <si>
    <t>002941</t>
  </si>
  <si>
    <t>002942</t>
  </si>
  <si>
    <t>002943</t>
  </si>
  <si>
    <t>助學社會關懷協會</t>
    <phoneticPr fontId="4" type="noConversion"/>
  </si>
  <si>
    <t>金芄福實業有限公司</t>
    <phoneticPr fontId="4" type="noConversion"/>
  </si>
  <si>
    <t>全台灣金屬科技</t>
    <phoneticPr fontId="4" type="noConversion"/>
  </si>
  <si>
    <t>30公斤</t>
    <phoneticPr fontId="4" type="noConversion"/>
  </si>
  <si>
    <t>邱鈺炫</t>
    <phoneticPr fontId="4" type="noConversion"/>
  </si>
  <si>
    <t>餅乾一批</t>
    <phoneticPr fontId="4" type="noConversion"/>
  </si>
  <si>
    <t>楊智勳</t>
    <phoneticPr fontId="4" type="noConversion"/>
  </si>
  <si>
    <t>苗栗服務社</t>
    <phoneticPr fontId="4" type="noConversion"/>
  </si>
  <si>
    <t>白米500斤、潤髮乳一批</t>
    <phoneticPr fontId="4" type="noConversion"/>
  </si>
  <si>
    <t>院生3餐食用</t>
    <phoneticPr fontId="4" type="noConversion"/>
  </si>
  <si>
    <t>洗衣粉18公斤、洗衣精56公斤</t>
    <phoneticPr fontId="4" type="noConversion"/>
  </si>
  <si>
    <t>童火生</t>
    <phoneticPr fontId="4" type="noConversion"/>
  </si>
  <si>
    <t>火龍果</t>
    <phoneticPr fontId="4" type="noConversion"/>
  </si>
  <si>
    <t>55斤</t>
    <phoneticPr fontId="4" type="noConversion"/>
  </si>
  <si>
    <t>餐廳</t>
    <phoneticPr fontId="4" type="noConversion"/>
  </si>
  <si>
    <t>苗栗縣選局委員會</t>
    <phoneticPr fontId="4" type="noConversion"/>
  </si>
  <si>
    <t>電腦主機</t>
    <phoneticPr fontId="4" type="noConversion"/>
  </si>
  <si>
    <t>5部</t>
    <phoneticPr fontId="4" type="noConversion"/>
  </si>
  <si>
    <t>教保組使用</t>
    <phoneticPr fontId="4" type="noConversion"/>
  </si>
  <si>
    <t>63包</t>
    <phoneticPr fontId="4" type="noConversion"/>
  </si>
  <si>
    <t>台中亞倫獅子會</t>
    <phoneticPr fontId="4" type="noConversion"/>
  </si>
  <si>
    <t>白米1500斤、物資一批</t>
    <phoneticPr fontId="4" type="noConversion"/>
  </si>
  <si>
    <t>廣目蓮慈善會</t>
    <phoneticPr fontId="4" type="noConversion"/>
  </si>
  <si>
    <t>何旋芳</t>
    <phoneticPr fontId="4" type="noConversion"/>
  </si>
  <si>
    <t>銅鑼五福廟</t>
    <phoneticPr fontId="4" type="noConversion"/>
  </si>
  <si>
    <t>麵條、香蕉一批</t>
    <phoneticPr fontId="4" type="noConversion"/>
  </si>
  <si>
    <t>謝清堂</t>
    <phoneticPr fontId="4" type="noConversion"/>
  </si>
  <si>
    <t>詹煥炘</t>
    <phoneticPr fontId="4" type="noConversion"/>
  </si>
  <si>
    <t>藝術蠟燭一個</t>
    <phoneticPr fontId="4" type="noConversion"/>
  </si>
  <si>
    <t>義賣</t>
    <phoneticPr fontId="4" type="noConversion"/>
  </si>
  <si>
    <t>002944</t>
  </si>
  <si>
    <t>002945</t>
  </si>
  <si>
    <t>002946</t>
  </si>
  <si>
    <t>002947</t>
  </si>
  <si>
    <t>002948</t>
  </si>
  <si>
    <t>002949</t>
  </si>
  <si>
    <t>同善寺</t>
    <phoneticPr fontId="4" type="noConversion"/>
  </si>
  <si>
    <t>白米600公斤、飲料9.1公升、醬油28公升、綠豆16公斤、糖20公斤、麥片9.6公斤、鹽24公斤</t>
    <phoneticPr fontId="4" type="noConversion"/>
  </si>
  <si>
    <t>崇聖寶殿</t>
    <phoneticPr fontId="4" type="noConversion"/>
  </si>
  <si>
    <t>五福廟</t>
    <phoneticPr fontId="4" type="noConversion"/>
  </si>
  <si>
    <t>麵包、水果、糕餅一批</t>
    <phoneticPr fontId="4" type="noConversion"/>
  </si>
  <si>
    <t>山東孫記手工包子</t>
    <phoneticPr fontId="4" type="noConversion"/>
  </si>
  <si>
    <t>素包子400個</t>
    <phoneticPr fontId="4" type="noConversion"/>
  </si>
  <si>
    <t>002950</t>
  </si>
  <si>
    <t>蕭美珍、蕭美玲、蕭美慧、蕭志強</t>
    <phoneticPr fontId="4" type="noConversion"/>
  </si>
  <si>
    <t>水餃5包、浴廁劑1箱</t>
    <phoneticPr fontId="4" type="noConversion"/>
  </si>
  <si>
    <t>院生使用、食用</t>
    <phoneticPr fontId="4" type="noConversion"/>
  </si>
  <si>
    <t>餐廳、入庫</t>
    <phoneticPr fontId="4" type="noConversion"/>
  </si>
  <si>
    <t>002951</t>
    <phoneticPr fontId="4" type="noConversion"/>
  </si>
  <si>
    <t>002952</t>
  </si>
  <si>
    <t>002953</t>
  </si>
  <si>
    <t>002954</t>
  </si>
  <si>
    <t>002955</t>
  </si>
  <si>
    <t>002956</t>
  </si>
  <si>
    <t>002957</t>
  </si>
  <si>
    <t>002958</t>
  </si>
  <si>
    <t>002959</t>
  </si>
  <si>
    <t>002960</t>
  </si>
  <si>
    <t>002961</t>
  </si>
  <si>
    <t>45包</t>
    <phoneticPr fontId="4" type="noConversion"/>
  </si>
  <si>
    <t>童火生</t>
    <phoneticPr fontId="4" type="noConversion"/>
  </si>
  <si>
    <t>柚子</t>
    <phoneticPr fontId="4" type="noConversion"/>
  </si>
  <si>
    <t>22斤</t>
    <phoneticPr fontId="4" type="noConversion"/>
  </si>
  <si>
    <t>邱仕傑</t>
    <phoneticPr fontId="4" type="noConversion"/>
  </si>
  <si>
    <t>清水永興壇</t>
    <phoneticPr fontId="4" type="noConversion"/>
  </si>
  <si>
    <t>罐頭3.4公斤、玉米粒5.1公斤、紫菜450公克、米粉4.8公斤、面7.5公斤、醬油6.1公升、油22.5公升、米酒8.2公升、麥片4.2公斤、綠豆3公斤、鹽15公斤、糖6公斤</t>
    <phoneticPr fontId="4" type="noConversion"/>
  </si>
  <si>
    <t>彭勝熙</t>
    <phoneticPr fontId="4" type="noConversion"/>
  </si>
  <si>
    <t>苗栗縣社會福利促進協會</t>
    <phoneticPr fontId="4" type="noConversion"/>
  </si>
  <si>
    <t>白米</t>
    <phoneticPr fontId="4" type="noConversion"/>
  </si>
  <si>
    <t>33.2KG</t>
    <phoneticPr fontId="4" type="noConversion"/>
  </si>
  <si>
    <t>楊淯晴</t>
    <phoneticPr fontId="4" type="noConversion"/>
  </si>
  <si>
    <t>芭樂38斤、柚子26斤</t>
    <phoneticPr fontId="4" type="noConversion"/>
  </si>
  <si>
    <t>彭意順、楊朝欽、劉景煒、陳芳瓊、傅湘棋、吳美貞、徐淑玲、湯美珍、羅麗花、陳春美</t>
    <phoneticPr fontId="4" type="noConversion"/>
  </si>
  <si>
    <t>37包</t>
    <phoneticPr fontId="4" type="noConversion"/>
  </si>
  <si>
    <t>羅瑞香</t>
    <phoneticPr fontId="4" type="noConversion"/>
  </si>
  <si>
    <t>弘法院</t>
    <phoneticPr fontId="4" type="noConversion"/>
  </si>
  <si>
    <t>物資一批</t>
    <phoneticPr fontId="4" type="noConversion"/>
  </si>
  <si>
    <t>佛光山苗栗大明寺</t>
    <phoneticPr fontId="4" type="noConversion"/>
  </si>
  <si>
    <t>白米60公斤、面一批</t>
    <phoneticPr fontId="4" type="noConversion"/>
  </si>
  <si>
    <t>竹南玄龍宮</t>
    <phoneticPr fontId="4" type="noConversion"/>
  </si>
  <si>
    <t>白米240公斤、油72公升、醬油40公升、綠豆7.2KG、紅豆8.4KG玉米粒17KG、罐頭6箱、面52.2公斤、冬粉50.4公斤</t>
    <phoneticPr fontId="4" type="noConversion"/>
  </si>
  <si>
    <t>靜覺寺</t>
    <phoneticPr fontId="4" type="noConversion"/>
  </si>
  <si>
    <t>1000斤</t>
    <phoneticPr fontId="4" type="noConversion"/>
  </si>
  <si>
    <t>50包</t>
    <phoneticPr fontId="4" type="noConversion"/>
  </si>
  <si>
    <t>002968</t>
    <phoneticPr fontId="4" type="noConversion"/>
  </si>
  <si>
    <t>240公斤</t>
    <phoneticPr fontId="4" type="noConversion"/>
  </si>
  <si>
    <t>108 年 9 月捐贈物資使用情形一覽表</t>
    <phoneticPr fontId="4" type="noConversion"/>
  </si>
  <si>
    <t>002962</t>
    <phoneticPr fontId="4" type="noConversion"/>
  </si>
  <si>
    <t>善心人士</t>
    <phoneticPr fontId="4" type="noConversion"/>
  </si>
  <si>
    <t>羊毛被</t>
    <phoneticPr fontId="4" type="noConversion"/>
  </si>
  <si>
    <t>3件</t>
    <phoneticPr fontId="4" type="noConversion"/>
  </si>
  <si>
    <t>邱仕傑</t>
    <phoneticPr fontId="4" type="noConversion"/>
  </si>
  <si>
    <t>002963</t>
    <phoneticPr fontId="4" type="noConversion"/>
  </si>
  <si>
    <t>善光寺</t>
    <phoneticPr fontId="4" type="noConversion"/>
  </si>
  <si>
    <t>白米*130公斤.物資一批</t>
    <phoneticPr fontId="4" type="noConversion"/>
  </si>
  <si>
    <t>002964</t>
    <phoneticPr fontId="4" type="noConversion"/>
  </si>
  <si>
    <t>三義大興善寺</t>
    <phoneticPr fontId="4" type="noConversion"/>
  </si>
  <si>
    <t>米粉*7箱.關廟麵*4箱.沙拉油*24瓶.白米30公斤*4袋.衛生紙*6箱</t>
    <phoneticPr fontId="4" type="noConversion"/>
  </si>
  <si>
    <t>羅瑞香</t>
    <phoneticPr fontId="4" type="noConversion"/>
  </si>
  <si>
    <t>002965</t>
    <phoneticPr fontId="4" type="noConversion"/>
  </si>
  <si>
    <t>童火生</t>
    <phoneticPr fontId="4" type="noConversion"/>
  </si>
  <si>
    <t>芭樂*20斤.柚子*28斤</t>
    <phoneticPr fontId="4" type="noConversion"/>
  </si>
  <si>
    <t>餐廳</t>
    <phoneticPr fontId="4" type="noConversion"/>
  </si>
  <si>
    <t>002966</t>
    <phoneticPr fontId="4" type="noConversion"/>
  </si>
  <si>
    <t>獅山勸化堂</t>
    <phoneticPr fontId="4" type="noConversion"/>
  </si>
  <si>
    <t>500斤</t>
    <phoneticPr fontId="4" type="noConversion"/>
  </si>
  <si>
    <t>108年6月19日到期.銷毀</t>
    <phoneticPr fontId="4" type="noConversion"/>
  </si>
  <si>
    <t>002967</t>
    <phoneticPr fontId="4" type="noConversion"/>
  </si>
  <si>
    <t>神岡無極天元宮</t>
    <phoneticPr fontId="4" type="noConversion"/>
  </si>
  <si>
    <t>普渡品</t>
    <phoneticPr fontId="4" type="noConversion"/>
  </si>
  <si>
    <t>一批</t>
    <phoneticPr fontId="4" type="noConversion"/>
  </si>
  <si>
    <t>002969</t>
    <phoneticPr fontId="4" type="noConversion"/>
  </si>
  <si>
    <t>002970</t>
    <phoneticPr fontId="4" type="noConversion"/>
  </si>
  <si>
    <t>彰化縣慈化慈善會</t>
    <phoneticPr fontId="4" type="noConversion"/>
  </si>
  <si>
    <t>白米*726公斤.泡麵*360碗.泡麵(5入/袋)*15袋.麵*34.8公斤.XO醬*3.8公斤.幼筍*3.4公斤.蠔油*20.1公斤.沙拉油*64公升.花生麵筋*24.4公斤.麥片*12.6公斤.鹽*62公斤.糖*26.5公斤.醬油*2.8公斤.醬油膏*2.8公斤.綠豆*12.3公斤.冬粉*21.1公斤.米粉*5公斤.尿布*12包.玉米粒*13.1公斤.飲料*44公升</t>
    <phoneticPr fontId="4" type="noConversion"/>
  </si>
  <si>
    <t>002971</t>
    <phoneticPr fontId="4" type="noConversion"/>
  </si>
  <si>
    <t>白米</t>
    <phoneticPr fontId="4" type="noConversion"/>
  </si>
  <si>
    <t>120公斤</t>
    <phoneticPr fontId="4" type="noConversion"/>
  </si>
  <si>
    <t>楊智勛</t>
    <phoneticPr fontId="4" type="noConversion"/>
  </si>
  <si>
    <t>002972</t>
    <phoneticPr fontId="4" type="noConversion"/>
  </si>
  <si>
    <t>38包</t>
    <phoneticPr fontId="4" type="noConversion"/>
  </si>
  <si>
    <t>趙慧穎</t>
    <phoneticPr fontId="4" type="noConversion"/>
  </si>
  <si>
    <t>002973</t>
    <phoneticPr fontId="4" type="noConversion"/>
  </si>
  <si>
    <t>財團法人中國國民黨身心障礙者保護基金會</t>
    <phoneticPr fontId="4" type="noConversion"/>
  </si>
  <si>
    <t>月餅</t>
    <phoneticPr fontId="4" type="noConversion"/>
  </si>
  <si>
    <t>20盒</t>
    <phoneticPr fontId="4" type="noConversion"/>
  </si>
  <si>
    <t>002974</t>
    <phoneticPr fontId="4" type="noConversion"/>
  </si>
  <si>
    <t>楊啟源</t>
    <phoneticPr fontId="4" type="noConversion"/>
  </si>
  <si>
    <t>漱口杯*6個.鋼刷*1個.垃圾袋*12包</t>
    <phoneticPr fontId="4" type="noConversion"/>
  </si>
  <si>
    <t>彭勝熙</t>
    <phoneticPr fontId="4" type="noConversion"/>
  </si>
  <si>
    <t>002975</t>
    <phoneticPr fontId="4" type="noConversion"/>
  </si>
  <si>
    <t>善心人士</t>
    <phoneticPr fontId="4" type="noConversion"/>
  </si>
  <si>
    <t>白米</t>
    <phoneticPr fontId="4" type="noConversion"/>
  </si>
  <si>
    <t>12公斤</t>
    <phoneticPr fontId="4" type="noConversion"/>
  </si>
  <si>
    <t>002976</t>
    <phoneticPr fontId="4" type="noConversion"/>
  </si>
  <si>
    <t>240公斤</t>
    <phoneticPr fontId="4" type="noConversion"/>
  </si>
  <si>
    <t>002977</t>
    <phoneticPr fontId="4" type="noConversion"/>
  </si>
  <si>
    <t>十方圓通寺</t>
    <phoneticPr fontId="4" type="noConversion"/>
  </si>
  <si>
    <t>饅頭</t>
    <phoneticPr fontId="4" type="noConversion"/>
  </si>
  <si>
    <t>810顆</t>
    <phoneticPr fontId="4" type="noConversion"/>
  </si>
  <si>
    <t>餐廳</t>
    <phoneticPr fontId="4" type="noConversion"/>
  </si>
  <si>
    <t>002978</t>
    <phoneticPr fontId="4" type="noConversion"/>
  </si>
  <si>
    <t>亞倫獅子會</t>
    <phoneticPr fontId="4" type="noConversion"/>
  </si>
  <si>
    <t>白米30公斤*18袋.王子麵*4大袋(50g*663包).沙其瑪*4大袋.五穀雜糧*1袋.糖果.軟糖.餅乾一批.雞毛撢*7個.老李滷麵50g*9箱(721包).碗*48個</t>
    <phoneticPr fontId="4" type="noConversion"/>
  </si>
  <si>
    <t>002979</t>
    <phoneticPr fontId="4" type="noConversion"/>
  </si>
  <si>
    <t>譚國華.李美玲.譚湘頤.譚富娟.譚甯葳.林陳滿.詹竣翔.高賢.高志華</t>
    <phoneticPr fontId="4" type="noConversion"/>
  </si>
  <si>
    <t>84公斤</t>
    <phoneticPr fontId="4" type="noConversion"/>
  </si>
  <si>
    <t>彭勝熙</t>
    <phoneticPr fontId="4" type="noConversion"/>
  </si>
  <si>
    <t>002980</t>
    <phoneticPr fontId="4" type="noConversion"/>
  </si>
  <si>
    <t>三義湯小姐</t>
    <phoneticPr fontId="4" type="noConversion"/>
  </si>
  <si>
    <t>50斤</t>
    <phoneticPr fontId="4" type="noConversion"/>
  </si>
  <si>
    <t>002981</t>
    <phoneticPr fontId="4" type="noConversion"/>
  </si>
  <si>
    <t>薛美士</t>
    <phoneticPr fontId="4" type="noConversion"/>
  </si>
  <si>
    <t>體育褲</t>
    <phoneticPr fontId="4" type="noConversion"/>
  </si>
  <si>
    <t>150件</t>
    <phoneticPr fontId="4" type="noConversion"/>
  </si>
  <si>
    <t>002982</t>
    <phoneticPr fontId="4" type="noConversion"/>
  </si>
  <si>
    <t>002983</t>
    <phoneticPr fontId="4" type="noConversion"/>
  </si>
  <si>
    <t>福景宮</t>
    <phoneticPr fontId="4" type="noConversion"/>
  </si>
  <si>
    <t>原子筆*1盒.A4護貝紙*1包.克寧高鈣奶粉*1罐</t>
    <phoneticPr fontId="4" type="noConversion"/>
  </si>
  <si>
    <t>院生食用、使用</t>
    <phoneticPr fontId="4" type="noConversion"/>
  </si>
  <si>
    <t>002984</t>
  </si>
  <si>
    <t>002985</t>
  </si>
  <si>
    <t>002986</t>
  </si>
  <si>
    <t>002987</t>
  </si>
  <si>
    <t>002988</t>
  </si>
  <si>
    <t>002989</t>
  </si>
  <si>
    <t>002990</t>
  </si>
  <si>
    <t>002991</t>
  </si>
  <si>
    <t>002992</t>
  </si>
  <si>
    <t>002993</t>
  </si>
  <si>
    <t>002994</t>
  </si>
  <si>
    <t>002995</t>
  </si>
  <si>
    <t>002996</t>
  </si>
  <si>
    <t>002997</t>
  </si>
  <si>
    <t>002998</t>
  </si>
  <si>
    <t>002999</t>
  </si>
  <si>
    <t>003000</t>
  </si>
  <si>
    <t>靈隱寺-新竹市</t>
    <phoneticPr fontId="4" type="noConversion"/>
  </si>
  <si>
    <t>邱仕傑</t>
    <phoneticPr fontId="4" type="noConversion"/>
  </si>
  <si>
    <t>中港福德宮</t>
    <phoneticPr fontId="4" type="noConversion"/>
  </si>
  <si>
    <t>米</t>
    <phoneticPr fontId="4" type="noConversion"/>
  </si>
  <si>
    <t>120KG</t>
    <phoneticPr fontId="4" type="noConversion"/>
  </si>
  <si>
    <t>米*150KG、米粉2KG、油15L、鹽15KG、糖6KG、油膏4.1L、醬油4.1L、飲料3箱、泡麵12袋</t>
    <phoneticPr fontId="4" type="noConversion"/>
  </si>
  <si>
    <t>作廢</t>
    <phoneticPr fontId="4" type="noConversion"/>
  </si>
  <si>
    <t>日清農業生技有限公司</t>
    <phoneticPr fontId="4" type="noConversion"/>
  </si>
  <si>
    <t>蔬菜</t>
    <phoneticPr fontId="4" type="noConversion"/>
  </si>
  <si>
    <t>44包</t>
    <phoneticPr fontId="4" type="noConversion"/>
  </si>
  <si>
    <t>苗栗縣社會福利促進協會</t>
    <phoneticPr fontId="4" type="noConversion"/>
  </si>
  <si>
    <t>150KG</t>
    <phoneticPr fontId="4" type="noConversion"/>
  </si>
  <si>
    <t>彭方俊</t>
    <phoneticPr fontId="4" type="noConversion"/>
  </si>
  <si>
    <t>邱榮炘</t>
    <phoneticPr fontId="4" type="noConversion"/>
  </si>
  <si>
    <t>林三郎</t>
    <phoneticPr fontId="4" type="noConversion"/>
  </si>
  <si>
    <t>米35KG*5、糙米35KG*2</t>
    <phoneticPr fontId="4" type="noConversion"/>
  </si>
  <si>
    <t>羅瑞香</t>
    <phoneticPr fontId="4" type="noConversion"/>
  </si>
  <si>
    <t>白鈺菱</t>
    <phoneticPr fontId="4" type="noConversion"/>
  </si>
  <si>
    <t>70KG</t>
    <phoneticPr fontId="4" type="noConversion"/>
  </si>
  <si>
    <t>院生食用、辦公室使用</t>
    <phoneticPr fontId="4" type="noConversion"/>
  </si>
  <si>
    <t>曾秋榮、黃鈺淳</t>
    <phoneticPr fontId="4" type="noConversion"/>
  </si>
  <si>
    <t>羅宋麵包、蜂蜜牛奶10組</t>
    <phoneticPr fontId="4" type="noConversion"/>
  </si>
  <si>
    <t>彭勝熙</t>
    <phoneticPr fontId="4" type="noConversion"/>
  </si>
  <si>
    <t>立楹企業社</t>
    <phoneticPr fontId="4" type="noConversion"/>
  </si>
  <si>
    <t>羅宋麵包、蜂蜜牛奶20組</t>
    <phoneticPr fontId="4" type="noConversion"/>
  </si>
  <si>
    <t>花欣儀</t>
    <phoneticPr fontId="4" type="noConversion"/>
  </si>
  <si>
    <t>陳忠華</t>
    <phoneticPr fontId="4" type="noConversion"/>
  </si>
  <si>
    <t>何怡欣</t>
    <phoneticPr fontId="4" type="noConversion"/>
  </si>
  <si>
    <t>羅日幸</t>
    <phoneticPr fontId="4" type="noConversion"/>
  </si>
  <si>
    <t>許永楨</t>
    <phoneticPr fontId="4" type="noConversion"/>
  </si>
  <si>
    <t>鐘玉雲</t>
    <phoneticPr fontId="4" type="noConversion"/>
  </si>
  <si>
    <t>邱大廷</t>
    <phoneticPr fontId="4" type="noConversion"/>
  </si>
  <si>
    <t>003001</t>
  </si>
  <si>
    <t>003002</t>
  </si>
  <si>
    <t>003003</t>
  </si>
  <si>
    <t>003004</t>
  </si>
  <si>
    <t>童火生</t>
    <phoneticPr fontId="4" type="noConversion"/>
  </si>
  <si>
    <t>檸檬16斤、柚子20斤</t>
    <phoneticPr fontId="4" type="noConversion"/>
  </si>
  <si>
    <t>林瑞堂</t>
    <phoneticPr fontId="4" type="noConversion"/>
  </si>
  <si>
    <t>楊易鴻</t>
    <phoneticPr fontId="4" type="noConversion"/>
  </si>
  <si>
    <t>400斤</t>
    <phoneticPr fontId="4" type="noConversion"/>
  </si>
  <si>
    <t>003005</t>
  </si>
  <si>
    <t>003006</t>
  </si>
  <si>
    <t>003007</t>
  </si>
  <si>
    <t>葉月琴</t>
    <phoneticPr fontId="4" type="noConversion"/>
  </si>
  <si>
    <t>100斤</t>
    <phoneticPr fontId="4" type="noConversion"/>
  </si>
  <si>
    <t>31包</t>
    <phoneticPr fontId="4" type="noConversion"/>
  </si>
  <si>
    <t>邱秀滿、蕭萬興</t>
    <phoneticPr fontId="4" type="noConversion"/>
  </si>
  <si>
    <t>水餃5包、原子筆10支、漱口杯12個</t>
    <phoneticPr fontId="4" type="noConversion"/>
  </si>
  <si>
    <t>餐廳、入庫</t>
    <phoneticPr fontId="4" type="noConversion"/>
  </si>
  <si>
    <t>003008</t>
  </si>
  <si>
    <t>003009</t>
  </si>
  <si>
    <t>67包</t>
    <phoneticPr fontId="4" type="noConversion"/>
  </si>
  <si>
    <t>003010</t>
  </si>
  <si>
    <t>天心普濟會</t>
    <phoneticPr fontId="4" type="noConversion"/>
  </si>
  <si>
    <t>油54L、飲料1.25L、米300KG、餅乾1箱、香皂18個、襪子1包</t>
    <phoneticPr fontId="4" type="noConversion"/>
  </si>
  <si>
    <t>趙慧穎</t>
    <phoneticPr fontId="4" type="noConversion"/>
  </si>
  <si>
    <t>申恩宮</t>
    <phoneticPr fontId="4" type="noConversion"/>
  </si>
  <si>
    <t>1704KG</t>
    <phoneticPr fontId="4" type="noConversion"/>
  </si>
  <si>
    <t>003015</t>
    <phoneticPr fontId="4" type="noConversion"/>
  </si>
  <si>
    <t>善心人士</t>
    <phoneticPr fontId="4" type="noConversion"/>
  </si>
  <si>
    <t>牙膏1.6KG、塑膠手套10雙</t>
    <phoneticPr fontId="4" type="noConversion"/>
  </si>
  <si>
    <t>003016</t>
  </si>
  <si>
    <t>牙膏5KG、沐浴乳9L、塑膠手套7雙、口罩4盒、免洗手套2盒、乳膠手套2盒</t>
    <phoneticPr fontId="4" type="noConversion"/>
  </si>
  <si>
    <t>003017</t>
  </si>
  <si>
    <t>苗栗客運陳美雪</t>
    <phoneticPr fontId="4" type="noConversion"/>
  </si>
  <si>
    <t>八寶粥6.7L、面1.5KG、醬油2L、米粉1.4KG、米12KG</t>
    <phoneticPr fontId="4" type="noConversion"/>
  </si>
  <si>
    <t>108年10月捐贈物資使用情形一覽表</t>
    <phoneticPr fontId="4" type="noConversion"/>
  </si>
  <si>
    <t>003011</t>
    <phoneticPr fontId="4" type="noConversion"/>
  </si>
  <si>
    <t>003012</t>
  </si>
  <si>
    <t>倍慶國際有限公司</t>
    <phoneticPr fontId="4" type="noConversion"/>
  </si>
  <si>
    <t>院生使用</t>
    <phoneticPr fontId="4" type="noConversion"/>
  </si>
  <si>
    <t>入庫</t>
    <phoneticPr fontId="4" type="noConversion"/>
  </si>
  <si>
    <t>46包</t>
    <phoneticPr fontId="4" type="noConversion"/>
  </si>
  <si>
    <t>003013</t>
  </si>
  <si>
    <t>003014</t>
  </si>
  <si>
    <t>善心人士</t>
    <phoneticPr fontId="4" type="noConversion"/>
  </si>
  <si>
    <t>洗髮乳</t>
    <phoneticPr fontId="4" type="noConversion"/>
  </si>
  <si>
    <t>24L</t>
    <phoneticPr fontId="4" type="noConversion"/>
  </si>
  <si>
    <t>善心人士</t>
    <phoneticPr fontId="4" type="noConversion"/>
  </si>
  <si>
    <t>米27KG、油5.2L、醬油1L、米酒0.5L、面斤0.5KG、綠豆0.4KG、糖0.5KG、鹽1KG、飲料6L、餅乾1批</t>
    <phoneticPr fontId="4" type="noConversion"/>
  </si>
  <si>
    <t>003018</t>
    <phoneticPr fontId="4" type="noConversion"/>
  </si>
  <si>
    <t>73包</t>
    <phoneticPr fontId="4" type="noConversion"/>
  </si>
  <si>
    <t>003019</t>
  </si>
  <si>
    <t>003020</t>
  </si>
  <si>
    <t>003021</t>
  </si>
  <si>
    <t>003022</t>
  </si>
  <si>
    <t>003023</t>
  </si>
  <si>
    <t>003024</t>
  </si>
  <si>
    <t>003025</t>
  </si>
  <si>
    <t>003026</t>
  </si>
  <si>
    <t>003027</t>
  </si>
  <si>
    <t>003028</t>
  </si>
  <si>
    <t>田宇成、李愛</t>
    <phoneticPr fontId="4" type="noConversion"/>
  </si>
  <si>
    <t>米60KG、沐浴乳4.2L洗碗精3.6KG</t>
    <phoneticPr fontId="4" type="noConversion"/>
  </si>
  <si>
    <t>院生食用、使用</t>
    <phoneticPr fontId="4" type="noConversion"/>
  </si>
  <si>
    <t>丁詩穎</t>
    <phoneticPr fontId="4" type="noConversion"/>
  </si>
  <si>
    <t>奶粉</t>
    <phoneticPr fontId="4" type="noConversion"/>
  </si>
  <si>
    <t>6罐</t>
    <phoneticPr fontId="4" type="noConversion"/>
  </si>
  <si>
    <t>院生食用</t>
    <phoneticPr fontId="4" type="noConversion"/>
  </si>
  <si>
    <t>柚子</t>
    <phoneticPr fontId="4" type="noConversion"/>
  </si>
  <si>
    <t>27斤</t>
    <phoneticPr fontId="4" type="noConversion"/>
  </si>
  <si>
    <t>院生食用</t>
    <phoneticPr fontId="4" type="noConversion"/>
  </si>
  <si>
    <t>天妙宮佛堂</t>
    <phoneticPr fontId="4" type="noConversion"/>
  </si>
  <si>
    <t>壽桃一批、糖果餅乾一批、水果一批</t>
    <phoneticPr fontId="4" type="noConversion"/>
  </si>
  <si>
    <t>彭勝熙</t>
    <phoneticPr fontId="4" type="noConversion"/>
  </si>
  <si>
    <t>劉嘉玲</t>
    <phoneticPr fontId="4" type="noConversion"/>
  </si>
  <si>
    <t>125KG</t>
    <phoneticPr fontId="4" type="noConversion"/>
  </si>
  <si>
    <t>楊淯晴</t>
    <phoneticPr fontId="4" type="noConversion"/>
  </si>
  <si>
    <t>陳阿發</t>
    <phoneticPr fontId="4" type="noConversion"/>
  </si>
  <si>
    <t>40包</t>
    <phoneticPr fontId="4" type="noConversion"/>
  </si>
  <si>
    <t>龍湖宮</t>
    <phoneticPr fontId="4" type="noConversion"/>
  </si>
  <si>
    <t>米108KG、油18L、醬油9.6L、面1.5KG、餅乾1批</t>
    <phoneticPr fontId="4" type="noConversion"/>
  </si>
  <si>
    <t>章厚倫</t>
    <phoneticPr fontId="4" type="noConversion"/>
  </si>
  <si>
    <t>字畫</t>
    <phoneticPr fontId="4" type="noConversion"/>
  </si>
  <si>
    <t>1幅</t>
    <phoneticPr fontId="4" type="noConversion"/>
  </si>
  <si>
    <t>義賣、佈置</t>
    <phoneticPr fontId="4" type="noConversion"/>
  </si>
  <si>
    <t>香蕉23斤、柚子19斤</t>
    <phoneticPr fontId="4" type="noConversion"/>
  </si>
  <si>
    <t>003029</t>
  </si>
  <si>
    <t>003030</t>
  </si>
  <si>
    <t>003031</t>
  </si>
  <si>
    <t>003032</t>
  </si>
  <si>
    <t>003051</t>
    <phoneticPr fontId="4" type="noConversion"/>
  </si>
  <si>
    <t>香蕉28斤、柚子20斤</t>
    <phoneticPr fontId="4" type="noConversion"/>
  </si>
  <si>
    <t>003033</t>
  </si>
  <si>
    <t>003034</t>
  </si>
  <si>
    <t>003035</t>
  </si>
  <si>
    <t>003036</t>
  </si>
  <si>
    <t>003037</t>
  </si>
  <si>
    <t>003038</t>
  </si>
  <si>
    <t>41包</t>
    <phoneticPr fontId="4" type="noConversion"/>
  </si>
  <si>
    <t>亞倫獅子會</t>
    <phoneticPr fontId="4" type="noConversion"/>
  </si>
  <si>
    <t>牛仔褲</t>
    <phoneticPr fontId="4" type="noConversion"/>
  </si>
  <si>
    <t>50件</t>
    <phoneticPr fontId="4" type="noConversion"/>
  </si>
  <si>
    <t>仁德醫護管理專科學校</t>
    <phoneticPr fontId="4" type="noConversion"/>
  </si>
  <si>
    <t>雙面膠6個、迴紋針8盒、修正帶21個、訂書針9盒、白板筆19支、隨身碟3個、影印紙4包、電池3號40個、電池4號40個、膠帶台2台、資料匣5個</t>
    <phoneticPr fontId="4" type="noConversion"/>
  </si>
  <si>
    <t>辦公室使用</t>
    <phoneticPr fontId="4" type="noConversion"/>
  </si>
  <si>
    <t>楊貫際</t>
    <phoneticPr fontId="4" type="noConversion"/>
  </si>
  <si>
    <t>20斤</t>
    <phoneticPr fontId="4" type="noConversion"/>
  </si>
  <si>
    <t>佛光山大明寺</t>
    <phoneticPr fontId="4" type="noConversion"/>
  </si>
  <si>
    <t>壽桃一批、水果一箱、蓮藕一箱</t>
    <phoneticPr fontId="4" type="noConversion"/>
  </si>
  <si>
    <t>32包</t>
    <phoneticPr fontId="4" type="noConversion"/>
  </si>
  <si>
    <t>水餃5包、清潔劑1箱</t>
    <phoneticPr fontId="4" type="noConversion"/>
  </si>
  <si>
    <t>柚子27斤、甘蔗30斤</t>
    <phoneticPr fontId="4" type="noConversion"/>
  </si>
  <si>
    <t>張玫珠</t>
    <phoneticPr fontId="4" type="noConversion"/>
  </si>
  <si>
    <t>四角豆皮15箱</t>
    <phoneticPr fontId="4" type="noConversion"/>
  </si>
  <si>
    <t>台灣築地水產股份有限公司</t>
    <phoneticPr fontId="4" type="noConversion"/>
  </si>
  <si>
    <t>003012</t>
    <phoneticPr fontId="4" type="noConversion"/>
  </si>
  <si>
    <t>善心人士</t>
    <phoneticPr fontId="4" type="noConversion"/>
  </si>
  <si>
    <t>洗髮乳</t>
    <phoneticPr fontId="4" type="noConversion"/>
  </si>
  <si>
    <t>24公升</t>
    <phoneticPr fontId="4" type="noConversion"/>
  </si>
  <si>
    <t>003014</t>
    <phoneticPr fontId="4" type="noConversion"/>
  </si>
  <si>
    <t>白米*27公斤.沙拉油*5.2公升.醬油*1公斤.米酒*0.5公升.麵筋*0.5公斤.鹽*1公斤.綠豆*0.4公斤.糖*0.5公斤.飲料*6公升.餅乾一批</t>
    <phoneticPr fontId="4" type="noConversion"/>
  </si>
  <si>
    <t>108 年11月捐贈物資使用情形一覽表</t>
    <phoneticPr fontId="4" type="noConversion"/>
  </si>
  <si>
    <t>003039</t>
    <phoneticPr fontId="4" type="noConversion"/>
  </si>
  <si>
    <t>慈聖宮</t>
    <phoneticPr fontId="4" type="noConversion"/>
  </si>
  <si>
    <t>結緣品</t>
    <phoneticPr fontId="4" type="noConversion"/>
  </si>
  <si>
    <t>一批</t>
    <phoneticPr fontId="4" type="noConversion"/>
  </si>
  <si>
    <t>彭勝熙</t>
    <phoneticPr fontId="4" type="noConversion"/>
  </si>
  <si>
    <t>院生食用</t>
    <phoneticPr fontId="4" type="noConversion"/>
  </si>
  <si>
    <t>003040</t>
    <phoneticPr fontId="4" type="noConversion"/>
  </si>
  <si>
    <t>55包</t>
    <phoneticPr fontId="4" type="noConversion"/>
  </si>
  <si>
    <t>餐廳</t>
    <phoneticPr fontId="4" type="noConversion"/>
  </si>
  <si>
    <t>003041</t>
    <phoneticPr fontId="4" type="noConversion"/>
  </si>
  <si>
    <t>東嶽府</t>
    <phoneticPr fontId="4" type="noConversion"/>
  </si>
  <si>
    <t>60公斤</t>
    <phoneticPr fontId="4" type="noConversion"/>
  </si>
  <si>
    <t>邱仕傑</t>
  </si>
  <si>
    <t>入庫</t>
    <phoneticPr fontId="4" type="noConversion"/>
  </si>
  <si>
    <t>003042</t>
    <phoneticPr fontId="4" type="noConversion"/>
  </si>
  <si>
    <t>5台</t>
    <phoneticPr fontId="4" type="noConversion"/>
  </si>
  <si>
    <t>行政.社工.教保</t>
    <phoneticPr fontId="4" type="noConversion"/>
  </si>
  <si>
    <t>003043</t>
    <phoneticPr fontId="4" type="noConversion"/>
  </si>
  <si>
    <t>70顆</t>
    <phoneticPr fontId="4" type="noConversion"/>
  </si>
  <si>
    <t>003044</t>
    <phoneticPr fontId="4" type="noConversion"/>
  </si>
  <si>
    <t>湯小姐</t>
    <phoneticPr fontId="4" type="noConversion"/>
  </si>
  <si>
    <t>白米</t>
    <phoneticPr fontId="4" type="noConversion"/>
  </si>
  <si>
    <t>50斤</t>
    <phoneticPr fontId="4" type="noConversion"/>
  </si>
  <si>
    <t>003045</t>
    <phoneticPr fontId="4" type="noConversion"/>
  </si>
  <si>
    <t>善心人士</t>
    <phoneticPr fontId="4" type="noConversion"/>
  </si>
  <si>
    <t>36公斤</t>
    <phoneticPr fontId="4" type="noConversion"/>
  </si>
  <si>
    <t>003046</t>
    <phoneticPr fontId="4" type="noConversion"/>
  </si>
  <si>
    <t xml:space="preserve">財團法人得力教育基金會               </t>
    <phoneticPr fontId="4" type="noConversion"/>
  </si>
  <si>
    <t>男外套*42件.女外套*16件.童外套*4件</t>
    <phoneticPr fontId="4" type="noConversion"/>
  </si>
  <si>
    <t>院生使用</t>
    <phoneticPr fontId="4" type="noConversion"/>
  </si>
  <si>
    <t>30包</t>
    <phoneticPr fontId="4" type="noConversion"/>
  </si>
  <si>
    <t>003047</t>
    <phoneticPr fontId="4" type="noConversion"/>
  </si>
  <si>
    <t>003048</t>
    <phoneticPr fontId="4" type="noConversion"/>
  </si>
  <si>
    <t>葉月琴</t>
    <phoneticPr fontId="4" type="noConversion"/>
  </si>
  <si>
    <t>100斤</t>
    <phoneticPr fontId="4" type="noConversion"/>
  </si>
  <si>
    <t>羅瑞香</t>
    <phoneticPr fontId="4" type="noConversion"/>
  </si>
  <si>
    <t>003049</t>
    <phoneticPr fontId="4" type="noConversion"/>
  </si>
  <si>
    <t>曾勝發.曾宇健</t>
    <phoneticPr fontId="4" type="noConversion"/>
  </si>
  <si>
    <t>003050</t>
    <phoneticPr fontId="4" type="noConversion"/>
  </si>
  <si>
    <t>楊易鴻</t>
    <phoneticPr fontId="4" type="noConversion"/>
  </si>
  <si>
    <t>400斤</t>
    <phoneticPr fontId="4" type="noConversion"/>
  </si>
  <si>
    <t>003052</t>
    <phoneticPr fontId="4" type="noConversion"/>
  </si>
  <si>
    <t>林于灩</t>
    <phoneticPr fontId="4" type="noConversion"/>
  </si>
  <si>
    <t>003053</t>
    <phoneticPr fontId="4" type="noConversion"/>
  </si>
  <si>
    <t>90公斤</t>
    <phoneticPr fontId="4" type="noConversion"/>
  </si>
  <si>
    <t>003054</t>
    <phoneticPr fontId="4" type="noConversion"/>
  </si>
  <si>
    <t>003055</t>
    <phoneticPr fontId="4" type="noConversion"/>
  </si>
  <si>
    <t>苗栗縣選舉委員會</t>
    <phoneticPr fontId="4" type="noConversion"/>
  </si>
  <si>
    <t>辦公室</t>
    <phoneticPr fontId="4" type="noConversion"/>
  </si>
  <si>
    <t>003056</t>
    <phoneticPr fontId="4" type="noConversion"/>
  </si>
  <si>
    <t>迦威實業股份有限公司</t>
    <phoneticPr fontId="4" type="noConversion"/>
  </si>
  <si>
    <t>洗髮精*5瓶.沐浴乳*10瓶.洗手乳*5瓶</t>
    <phoneticPr fontId="4" type="noConversion"/>
  </si>
  <si>
    <t>003057</t>
    <phoneticPr fontId="4" type="noConversion"/>
  </si>
  <si>
    <t>顏妙珊</t>
    <phoneticPr fontId="4" type="noConversion"/>
  </si>
  <si>
    <t>吹風機</t>
    <phoneticPr fontId="4" type="noConversion"/>
  </si>
  <si>
    <t>3台</t>
    <phoneticPr fontId="4" type="noConversion"/>
  </si>
  <si>
    <t>003058</t>
    <phoneticPr fontId="4" type="noConversion"/>
  </si>
  <si>
    <t>林孟潭</t>
    <phoneticPr fontId="4" type="noConversion"/>
  </si>
  <si>
    <t>浴廁芳香淨</t>
    <phoneticPr fontId="4" type="noConversion"/>
  </si>
  <si>
    <t>16瓶</t>
    <phoneticPr fontId="4" type="noConversion"/>
  </si>
  <si>
    <t>003059</t>
    <phoneticPr fontId="4" type="noConversion"/>
  </si>
  <si>
    <t>王文宣</t>
    <phoneticPr fontId="4" type="noConversion"/>
  </si>
  <si>
    <t>003060</t>
    <phoneticPr fontId="4" type="noConversion"/>
  </si>
  <si>
    <t>立楹企業社</t>
    <phoneticPr fontId="4" type="noConversion"/>
  </si>
  <si>
    <t>22瓶</t>
    <phoneticPr fontId="4" type="noConversion"/>
  </si>
  <si>
    <t>003061</t>
    <phoneticPr fontId="4" type="noConversion"/>
  </si>
  <si>
    <t>陳雅文</t>
    <phoneticPr fontId="4" type="noConversion"/>
  </si>
  <si>
    <t>2瓶</t>
    <phoneticPr fontId="4" type="noConversion"/>
  </si>
  <si>
    <t>003062</t>
    <phoneticPr fontId="4" type="noConversion"/>
  </si>
  <si>
    <t>林麗月</t>
    <phoneticPr fontId="4" type="noConversion"/>
  </si>
  <si>
    <t>奶粉</t>
    <phoneticPr fontId="4" type="noConversion"/>
  </si>
  <si>
    <t>2罐</t>
    <phoneticPr fontId="4" type="noConversion"/>
  </si>
  <si>
    <t>楊智勛</t>
    <phoneticPr fontId="4" type="noConversion"/>
  </si>
  <si>
    <t>003063</t>
    <phoneticPr fontId="4" type="noConversion"/>
  </si>
  <si>
    <t>李晏瑜.李任曜</t>
    <phoneticPr fontId="4" type="noConversion"/>
  </si>
  <si>
    <t>奶粉*46公斤.漂白水*16公升.牙刷*50支</t>
    <phoneticPr fontId="4" type="noConversion"/>
  </si>
  <si>
    <t>55包</t>
    <phoneticPr fontId="4" type="noConversion"/>
  </si>
  <si>
    <t>003064</t>
    <phoneticPr fontId="4" type="noConversion"/>
  </si>
  <si>
    <t>003065</t>
    <phoneticPr fontId="4" type="noConversion"/>
  </si>
  <si>
    <t>飛龍宮</t>
    <phoneticPr fontId="4" type="noConversion"/>
  </si>
  <si>
    <t>003066</t>
    <phoneticPr fontId="4" type="noConversion"/>
  </si>
  <si>
    <t>苗栗縣政府稅務局</t>
    <phoneticPr fontId="4" type="noConversion"/>
  </si>
  <si>
    <t>發票</t>
    <phoneticPr fontId="4" type="noConversion"/>
  </si>
  <si>
    <t>2700張</t>
    <phoneticPr fontId="4" type="noConversion"/>
  </si>
  <si>
    <t>003067</t>
    <phoneticPr fontId="4" type="noConversion"/>
  </si>
  <si>
    <t>黃妙珠</t>
    <phoneticPr fontId="4" type="noConversion"/>
  </si>
  <si>
    <t>火龍果</t>
    <phoneticPr fontId="4" type="noConversion"/>
  </si>
  <si>
    <t>150斤</t>
    <phoneticPr fontId="4" type="noConversion"/>
  </si>
  <si>
    <t>彭方俊</t>
    <phoneticPr fontId="4" type="noConversion"/>
  </si>
  <si>
    <t>003068</t>
    <phoneticPr fontId="4" type="noConversion"/>
  </si>
  <si>
    <t>苗栗玉清宮</t>
    <phoneticPr fontId="4" type="noConversion"/>
  </si>
  <si>
    <t>510公斤</t>
    <phoneticPr fontId="4" type="noConversion"/>
  </si>
  <si>
    <t>003069</t>
    <phoneticPr fontId="4" type="noConversion"/>
  </si>
  <si>
    <t>五府千歲 陳阿發</t>
    <phoneticPr fontId="4" type="noConversion"/>
  </si>
  <si>
    <t>白米5公斤</t>
    <phoneticPr fontId="4" type="noConversion"/>
  </si>
  <si>
    <t>50包</t>
    <phoneticPr fontId="4" type="noConversion"/>
  </si>
  <si>
    <t>003070</t>
    <phoneticPr fontId="4" type="noConversion"/>
  </si>
  <si>
    <t>王芬玲</t>
    <phoneticPr fontId="4" type="noConversion"/>
  </si>
  <si>
    <t>75張</t>
    <phoneticPr fontId="4" type="noConversion"/>
  </si>
  <si>
    <t>003071</t>
    <phoneticPr fontId="4" type="noConversion"/>
  </si>
  <si>
    <t>彭意順.楊朝欽.劉景煒.徐淑玲.邱秀滿.湯美珍.陳芳瓊.吳美貞.傅湘棋</t>
    <phoneticPr fontId="4" type="noConversion"/>
  </si>
  <si>
    <t>35包</t>
    <phoneticPr fontId="4" type="noConversion"/>
  </si>
  <si>
    <t>003072</t>
    <phoneticPr fontId="4" type="noConversion"/>
  </si>
  <si>
    <t>58包</t>
    <phoneticPr fontId="4" type="noConversion"/>
  </si>
  <si>
    <t>108 年12月捐贈物資使用情形一覽表</t>
    <phoneticPr fontId="4" type="noConversion"/>
  </si>
  <si>
    <t>003073</t>
    <phoneticPr fontId="4" type="noConversion"/>
  </si>
  <si>
    <t>無極九玄宮</t>
    <phoneticPr fontId="4" type="noConversion"/>
  </si>
  <si>
    <t>餅乾一批.青菜一批</t>
    <phoneticPr fontId="4" type="noConversion"/>
  </si>
  <si>
    <t>003074</t>
    <phoneticPr fontId="4" type="noConversion"/>
  </si>
  <si>
    <t>林宛淇</t>
    <phoneticPr fontId="4" type="noConversion"/>
  </si>
  <si>
    <t>醬油*8罐.衛生紙*18包.紫米*1袋</t>
    <phoneticPr fontId="4" type="noConversion"/>
  </si>
  <si>
    <t>003075</t>
    <phoneticPr fontId="4" type="noConversion"/>
  </si>
  <si>
    <t>衛生紙</t>
    <phoneticPr fontId="4" type="noConversion"/>
  </si>
  <si>
    <t>20袋</t>
    <phoneticPr fontId="4" type="noConversion"/>
  </si>
  <si>
    <t>003076</t>
    <phoneticPr fontId="4" type="noConversion"/>
  </si>
  <si>
    <t>詹沛玲</t>
    <phoneticPr fontId="4" type="noConversion"/>
  </si>
  <si>
    <t>10袋</t>
    <phoneticPr fontId="4" type="noConversion"/>
  </si>
  <si>
    <t>003077</t>
    <phoneticPr fontId="4" type="noConversion"/>
  </si>
  <si>
    <t>隆鈺汽車美容</t>
    <phoneticPr fontId="4" type="noConversion"/>
  </si>
  <si>
    <t>003078</t>
    <phoneticPr fontId="4" type="noConversion"/>
  </si>
  <si>
    <t>羅日幸</t>
    <phoneticPr fontId="4" type="noConversion"/>
  </si>
  <si>
    <t>003079</t>
    <phoneticPr fontId="4" type="noConversion"/>
  </si>
  <si>
    <t>施雅菱</t>
    <phoneticPr fontId="4" type="noConversion"/>
  </si>
  <si>
    <t>003080</t>
    <phoneticPr fontId="4" type="noConversion"/>
  </si>
  <si>
    <t>文武倫實業開發有限公司</t>
    <phoneticPr fontId="4" type="noConversion"/>
  </si>
  <si>
    <t>003081</t>
    <phoneticPr fontId="4" type="noConversion"/>
  </si>
  <si>
    <t>鄧凱日</t>
    <phoneticPr fontId="4" type="noConversion"/>
  </si>
  <si>
    <t>003082</t>
    <phoneticPr fontId="4" type="noConversion"/>
  </si>
  <si>
    <t>葉苡薰</t>
    <phoneticPr fontId="4" type="noConversion"/>
  </si>
  <si>
    <t>003083</t>
    <phoneticPr fontId="4" type="noConversion"/>
  </si>
  <si>
    <t>黃瑩潔</t>
    <phoneticPr fontId="4" type="noConversion"/>
  </si>
  <si>
    <t>003084</t>
    <phoneticPr fontId="4" type="noConversion"/>
  </si>
  <si>
    <t>作     廢</t>
    <phoneticPr fontId="4" type="noConversion"/>
  </si>
  <si>
    <t>003085</t>
    <phoneticPr fontId="4" type="noConversion"/>
  </si>
  <si>
    <t>王鈴瑋</t>
    <phoneticPr fontId="4" type="noConversion"/>
  </si>
  <si>
    <t>003086</t>
    <phoneticPr fontId="4" type="noConversion"/>
  </si>
  <si>
    <t>魏眀堃</t>
    <phoneticPr fontId="4" type="noConversion"/>
  </si>
  <si>
    <t>003087</t>
    <phoneticPr fontId="4" type="noConversion"/>
  </si>
  <si>
    <t>50包</t>
    <phoneticPr fontId="4" type="noConversion"/>
  </si>
  <si>
    <t>003088</t>
    <phoneticPr fontId="4" type="noConversion"/>
  </si>
  <si>
    <t>善心人士</t>
    <phoneticPr fontId="4" type="noConversion"/>
  </si>
  <si>
    <t>白米*27公斤.飲料*12公升.燕麥*3.4公斤.麵*13.5公斤.餅乾一批</t>
    <phoneticPr fontId="4" type="noConversion"/>
  </si>
  <si>
    <t>003089</t>
    <phoneticPr fontId="4" type="noConversion"/>
  </si>
  <si>
    <t>迴鄉有機生活農場</t>
    <phoneticPr fontId="4" type="noConversion"/>
  </si>
  <si>
    <t>餐廳</t>
    <phoneticPr fontId="4" type="noConversion"/>
  </si>
  <si>
    <t>003090</t>
    <phoneticPr fontId="4" type="noConversion"/>
  </si>
  <si>
    <t>中和金山禪寺</t>
    <phoneticPr fontId="4" type="noConversion"/>
  </si>
  <si>
    <t>麵*5箱(36公斤).素肉燥*2箱(10公斤).雪蓮子*2箱(19.2公斤).素鬆*1箱(6公斤).米*90公斤.麥片*1箱(9.6公斤).餅乾*1箱</t>
    <phoneticPr fontId="4" type="noConversion"/>
  </si>
  <si>
    <t>003091</t>
    <phoneticPr fontId="4" type="noConversion"/>
  </si>
  <si>
    <t>39包</t>
    <phoneticPr fontId="4" type="noConversion"/>
  </si>
  <si>
    <t>003092</t>
    <phoneticPr fontId="4" type="noConversion"/>
  </si>
  <si>
    <t>苑裡圓融精舍</t>
    <phoneticPr fontId="4" type="noConversion"/>
  </si>
  <si>
    <t>一批</t>
  </si>
  <si>
    <t>物資</t>
    <phoneticPr fontId="4" type="noConversion"/>
  </si>
  <si>
    <t>彭方俊</t>
    <phoneticPr fontId="4" type="noConversion"/>
  </si>
  <si>
    <t>003093</t>
    <phoneticPr fontId="4" type="noConversion"/>
  </si>
  <si>
    <t>謝洧銘木材有限公司</t>
    <phoneticPr fontId="4" type="noConversion"/>
  </si>
  <si>
    <t>楊淯晴</t>
    <phoneticPr fontId="4" type="noConversion"/>
  </si>
  <si>
    <t>003094</t>
    <phoneticPr fontId="4" type="noConversion"/>
  </si>
  <si>
    <t>法尊堂</t>
    <phoneticPr fontId="4" type="noConversion"/>
  </si>
  <si>
    <t>白米</t>
    <phoneticPr fontId="4" type="noConversion"/>
  </si>
  <si>
    <t>140公斤</t>
    <phoneticPr fontId="4" type="noConversion"/>
  </si>
  <si>
    <t>白米30公斤*12袋</t>
    <phoneticPr fontId="4" type="noConversion"/>
  </si>
  <si>
    <t>360公斤</t>
    <phoneticPr fontId="4" type="noConversion"/>
  </si>
  <si>
    <t>003095</t>
    <phoneticPr fontId="4" type="noConversion"/>
  </si>
  <si>
    <t>30包</t>
    <phoneticPr fontId="4" type="noConversion"/>
  </si>
  <si>
    <t>003096</t>
    <phoneticPr fontId="4" type="noConversion"/>
  </si>
  <si>
    <t>手機家族</t>
    <phoneticPr fontId="4" type="noConversion"/>
  </si>
  <si>
    <t>清潔用品</t>
    <phoneticPr fontId="4" type="noConversion"/>
  </si>
  <si>
    <t>003097</t>
    <phoneticPr fontId="4" type="noConversion"/>
  </si>
  <si>
    <t>經昌針織興業社</t>
    <phoneticPr fontId="4" type="noConversion"/>
  </si>
  <si>
    <t>毛巾</t>
    <phoneticPr fontId="4" type="noConversion"/>
  </si>
  <si>
    <t>003098</t>
    <phoneticPr fontId="4" type="noConversion"/>
  </si>
  <si>
    <t>苗栗縣社會福利促進協會</t>
    <phoneticPr fontId="4" type="noConversion"/>
  </si>
  <si>
    <t>文具一批.白米*2包.酒精*3罐.民生用品一批.青菜一批.食材一批</t>
    <phoneticPr fontId="4" type="noConversion"/>
  </si>
  <si>
    <t>003099</t>
    <phoneticPr fontId="4" type="noConversion"/>
  </si>
  <si>
    <t>青菜</t>
    <phoneticPr fontId="4" type="noConversion"/>
  </si>
  <si>
    <t>003100</t>
    <phoneticPr fontId="4" type="noConversion"/>
  </si>
  <si>
    <t>003101</t>
    <phoneticPr fontId="4" type="noConversion"/>
  </si>
  <si>
    <t>金善堂</t>
    <phoneticPr fontId="4" type="noConversion"/>
  </si>
  <si>
    <t>白米*140公斤.水果一批</t>
    <phoneticPr fontId="4" type="noConversion"/>
  </si>
  <si>
    <t>003102</t>
    <phoneticPr fontId="4" type="noConversion"/>
  </si>
  <si>
    <t>曹陳森妹</t>
    <phoneticPr fontId="4" type="noConversion"/>
  </si>
  <si>
    <t>48公斤</t>
    <phoneticPr fontId="4" type="noConversion"/>
  </si>
  <si>
    <t>003103</t>
    <phoneticPr fontId="4" type="noConversion"/>
  </si>
  <si>
    <t>吳育蓁</t>
    <phoneticPr fontId="4" type="noConversion"/>
  </si>
  <si>
    <t>白米30公斤*5袋</t>
    <phoneticPr fontId="4" type="noConversion"/>
  </si>
  <si>
    <t>150公斤</t>
    <phoneticPr fontId="4" type="noConversion"/>
  </si>
  <si>
    <t>003104</t>
    <phoneticPr fontId="4" type="noConversion"/>
  </si>
  <si>
    <t>賴冠霖</t>
    <phoneticPr fontId="4" type="noConversion"/>
  </si>
  <si>
    <t>白米30公斤*19袋</t>
    <phoneticPr fontId="4" type="noConversion"/>
  </si>
  <si>
    <t>570公斤</t>
    <phoneticPr fontId="4" type="noConversion"/>
  </si>
  <si>
    <t>003105</t>
    <phoneticPr fontId="4" type="noConversion"/>
  </si>
  <si>
    <t>黃秋添</t>
    <phoneticPr fontId="4" type="noConversion"/>
  </si>
  <si>
    <t>白米30公斤*6袋</t>
    <phoneticPr fontId="4" type="noConversion"/>
  </si>
  <si>
    <t>180公斤</t>
    <phoneticPr fontId="4" type="noConversion"/>
  </si>
  <si>
    <t>003106</t>
    <phoneticPr fontId="4" type="noConversion"/>
  </si>
  <si>
    <t>彭意順.楊朝欽.劉景煒.徐淑玲.邱秀滿.湯美珍.陳芳瓊.吳美貞.傅湘棋.羅麗花</t>
    <phoneticPr fontId="4" type="noConversion"/>
  </si>
  <si>
    <t>33包</t>
    <phoneticPr fontId="4" type="noConversion"/>
  </si>
  <si>
    <t>003107</t>
    <phoneticPr fontId="4" type="noConversion"/>
  </si>
  <si>
    <t>趙梅芬</t>
    <phoneticPr fontId="4" type="noConversion"/>
  </si>
  <si>
    <t>拼布作品</t>
    <phoneticPr fontId="4" type="noConversion"/>
  </si>
  <si>
    <t>詹翁柏</t>
    <phoneticPr fontId="4" type="noConversion"/>
  </si>
  <si>
    <t>003108</t>
    <phoneticPr fontId="4" type="noConversion"/>
  </si>
  <si>
    <t>003109</t>
    <phoneticPr fontId="4" type="noConversion"/>
  </si>
  <si>
    <t>白米*1000斤.熟食一批</t>
    <phoneticPr fontId="4" type="noConversion"/>
  </si>
  <si>
    <t>亞倫獅子會</t>
    <phoneticPr fontId="4" type="noConversion"/>
  </si>
  <si>
    <t>003110</t>
    <phoneticPr fontId="4" type="noConversion"/>
  </si>
  <si>
    <t>頭份無極九玄宮</t>
    <phoneticPr fontId="4" type="noConversion"/>
  </si>
  <si>
    <t>白米*387公斤.沙拉油*40公升.水果一批</t>
    <phoneticPr fontId="4" type="noConversion"/>
  </si>
  <si>
    <t>衣服200件、香皂496個、便條紙1箱</t>
    <phoneticPr fontId="4" type="noConversion"/>
  </si>
  <si>
    <t>新至陞科技股份有限公司</t>
    <phoneticPr fontId="4" type="noConversion"/>
  </si>
  <si>
    <t>二手筆電</t>
    <phoneticPr fontId="4" type="noConversion"/>
  </si>
  <si>
    <t>麥克風*3組.錄放影機*1台-二手</t>
    <phoneticPr fontId="4" type="noConversion"/>
  </si>
  <si>
    <t>八寶粥*380克*100罐.白米*1公斤*100包..米酒55cc*99瓶.米粉400克*100包.沙拉油1公升*100瓶.麥片300克*100盒.醬油1公升*100瓶.麵150克*100包.餅乾一批</t>
    <phoneticPr fontId="4" type="noConversion"/>
  </si>
  <si>
    <t>109年1月捐贈物資使用情形一覽表</t>
    <phoneticPr fontId="4" type="noConversion"/>
  </si>
  <si>
    <t>003201</t>
    <phoneticPr fontId="4" type="noConversion"/>
  </si>
  <si>
    <t>天妙宮佛堂</t>
    <phoneticPr fontId="4" type="noConversion"/>
  </si>
  <si>
    <t>白米</t>
    <phoneticPr fontId="4" type="noConversion"/>
  </si>
  <si>
    <t>60公斤</t>
    <phoneticPr fontId="4" type="noConversion"/>
  </si>
  <si>
    <t>羅瑞香</t>
    <phoneticPr fontId="4" type="noConversion"/>
  </si>
  <si>
    <t>003202</t>
    <phoneticPr fontId="4" type="noConversion"/>
  </si>
  <si>
    <t xml:space="preserve"> 作 廢</t>
    <phoneticPr fontId="4" type="noConversion"/>
  </si>
  <si>
    <t>003203</t>
    <phoneticPr fontId="4" type="noConversion"/>
  </si>
  <si>
    <t>33包</t>
    <phoneticPr fontId="4" type="noConversion"/>
  </si>
  <si>
    <t>餐廳</t>
    <phoneticPr fontId="4" type="noConversion"/>
  </si>
  <si>
    <t>003204</t>
    <phoneticPr fontId="4" type="noConversion"/>
  </si>
  <si>
    <t>愛關懷行善志工</t>
    <phoneticPr fontId="4" type="noConversion"/>
  </si>
  <si>
    <t>漂白水.酒精.洗衣粉.洗碗精</t>
    <phoneticPr fontId="4" type="noConversion"/>
  </si>
  <si>
    <t>一批</t>
    <phoneticPr fontId="4" type="noConversion"/>
  </si>
  <si>
    <t>彭勝熙</t>
    <phoneticPr fontId="4" type="noConversion"/>
  </si>
  <si>
    <t>003205</t>
    <phoneticPr fontId="4" type="noConversion"/>
  </si>
  <si>
    <t>蔡翔宇</t>
    <phoneticPr fontId="4" type="noConversion"/>
  </si>
  <si>
    <t>003206</t>
    <phoneticPr fontId="4" type="noConversion"/>
  </si>
  <si>
    <t>江俊毅</t>
    <phoneticPr fontId="4" type="noConversion"/>
  </si>
  <si>
    <t>003207</t>
    <phoneticPr fontId="4" type="noConversion"/>
  </si>
  <si>
    <t>傅佳淳</t>
    <phoneticPr fontId="4" type="noConversion"/>
  </si>
  <si>
    <t>003208</t>
    <phoneticPr fontId="4" type="noConversion"/>
  </si>
  <si>
    <t>許永楨</t>
    <phoneticPr fontId="4" type="noConversion"/>
  </si>
  <si>
    <t>003209</t>
    <phoneticPr fontId="4" type="noConversion"/>
  </si>
  <si>
    <t>盛威翰</t>
    <phoneticPr fontId="4" type="noConversion"/>
  </si>
  <si>
    <t>魏寶益</t>
    <phoneticPr fontId="4" type="noConversion"/>
  </si>
  <si>
    <t>黃柏淯</t>
    <phoneticPr fontId="4" type="noConversion"/>
  </si>
  <si>
    <t>林靜怡</t>
    <phoneticPr fontId="4" type="noConversion"/>
  </si>
  <si>
    <t>歐其衛</t>
    <phoneticPr fontId="4" type="noConversion"/>
  </si>
  <si>
    <t>陳志傑</t>
    <phoneticPr fontId="4" type="noConversion"/>
  </si>
  <si>
    <t>吳瑞添</t>
    <phoneticPr fontId="4" type="noConversion"/>
  </si>
  <si>
    <t>詹菊香</t>
    <phoneticPr fontId="4" type="noConversion"/>
  </si>
  <si>
    <t>溫浩宇</t>
    <phoneticPr fontId="4" type="noConversion"/>
  </si>
  <si>
    <t>林盈臻</t>
    <phoneticPr fontId="4" type="noConversion"/>
  </si>
  <si>
    <t>徐呈銘</t>
    <phoneticPr fontId="4" type="noConversion"/>
  </si>
  <si>
    <t>徐品姍</t>
    <phoneticPr fontId="4" type="noConversion"/>
  </si>
  <si>
    <t>徐名竑</t>
    <phoneticPr fontId="4" type="noConversion"/>
  </si>
  <si>
    <t>唐寶棕</t>
    <phoneticPr fontId="4" type="noConversion"/>
  </si>
  <si>
    <t>賴嘉</t>
    <phoneticPr fontId="4" type="noConversion"/>
  </si>
  <si>
    <t>003210</t>
    <phoneticPr fontId="4" type="noConversion"/>
  </si>
  <si>
    <t>物資(衛生紙.白米.蘋果.麵)</t>
    <phoneticPr fontId="4" type="noConversion"/>
  </si>
  <si>
    <t>003211</t>
    <phoneticPr fontId="4" type="noConversion"/>
  </si>
  <si>
    <t>003212</t>
    <phoneticPr fontId="4" type="noConversion"/>
  </si>
  <si>
    <t>003213</t>
    <phoneticPr fontId="4" type="noConversion"/>
  </si>
  <si>
    <t>003214</t>
    <phoneticPr fontId="4" type="noConversion"/>
  </si>
  <si>
    <t>003215</t>
    <phoneticPr fontId="4" type="noConversion"/>
  </si>
  <si>
    <t>003216</t>
    <phoneticPr fontId="4" type="noConversion"/>
  </si>
  <si>
    <t>003217</t>
    <phoneticPr fontId="4" type="noConversion"/>
  </si>
  <si>
    <t>003218</t>
    <phoneticPr fontId="4" type="noConversion"/>
  </si>
  <si>
    <t>003219</t>
    <phoneticPr fontId="4" type="noConversion"/>
  </si>
  <si>
    <t>003220</t>
    <phoneticPr fontId="4" type="noConversion"/>
  </si>
  <si>
    <t>003221</t>
    <phoneticPr fontId="4" type="noConversion"/>
  </si>
  <si>
    <t>003222</t>
    <phoneticPr fontId="4" type="noConversion"/>
  </si>
  <si>
    <t>003223</t>
    <phoneticPr fontId="4" type="noConversion"/>
  </si>
  <si>
    <t>003224</t>
    <phoneticPr fontId="4" type="noConversion"/>
  </si>
  <si>
    <t>日皓有限公司</t>
    <phoneticPr fontId="4" type="noConversion"/>
  </si>
  <si>
    <t>600公斤</t>
    <phoneticPr fontId="4" type="noConversion"/>
  </si>
  <si>
    <t>院生3餐食用       、使用</t>
    <phoneticPr fontId="4" type="noConversion"/>
  </si>
  <si>
    <t>003225</t>
    <phoneticPr fontId="4" type="noConversion"/>
  </si>
  <si>
    <t>準提精舍-如願大師</t>
    <phoneticPr fontId="4" type="noConversion"/>
  </si>
  <si>
    <t>300公斤</t>
    <phoneticPr fontId="4" type="noConversion"/>
  </si>
  <si>
    <t>003226</t>
    <phoneticPr fontId="4" type="noConversion"/>
  </si>
  <si>
    <t>苗栗縣野鳥協會</t>
    <phoneticPr fontId="4" type="noConversion"/>
  </si>
  <si>
    <t>雞蛋</t>
    <phoneticPr fontId="4" type="noConversion"/>
  </si>
  <si>
    <t>1箱</t>
    <phoneticPr fontId="4" type="noConversion"/>
  </si>
  <si>
    <t>楊淯晴</t>
    <phoneticPr fontId="4" type="noConversion"/>
  </si>
  <si>
    <t>003227</t>
    <phoneticPr fontId="4" type="noConversion"/>
  </si>
  <si>
    <t>楊易鴻</t>
    <phoneticPr fontId="4" type="noConversion"/>
  </si>
  <si>
    <t>400公斤</t>
    <phoneticPr fontId="4" type="noConversion"/>
  </si>
  <si>
    <t>003228</t>
    <phoneticPr fontId="4" type="noConversion"/>
  </si>
  <si>
    <t>葉月琴</t>
    <phoneticPr fontId="4" type="noConversion"/>
  </si>
  <si>
    <t>100公斤</t>
    <phoneticPr fontId="4" type="noConversion"/>
  </si>
  <si>
    <t>003229</t>
    <phoneticPr fontId="4" type="noConversion"/>
  </si>
  <si>
    <t>曾勝發.曾宇健</t>
    <phoneticPr fontId="4" type="noConversion"/>
  </si>
  <si>
    <t>003230</t>
    <phoneticPr fontId="4" type="noConversion"/>
  </si>
  <si>
    <t>林曉慧.廖柏銘</t>
    <phoneticPr fontId="4" type="noConversion"/>
  </si>
  <si>
    <t>40公斤</t>
    <phoneticPr fontId="4" type="noConversion"/>
  </si>
  <si>
    <t>003231</t>
    <phoneticPr fontId="4" type="noConversion"/>
  </si>
  <si>
    <t>巷怡君</t>
    <phoneticPr fontId="4" type="noConversion"/>
  </si>
  <si>
    <t>5罐</t>
    <phoneticPr fontId="4" type="noConversion"/>
  </si>
  <si>
    <t>陳素萍</t>
    <phoneticPr fontId="4" type="noConversion"/>
  </si>
  <si>
    <t>2罐</t>
    <phoneticPr fontId="4" type="noConversion"/>
  </si>
  <si>
    <t>顏秀玲</t>
    <phoneticPr fontId="4" type="noConversion"/>
  </si>
  <si>
    <t>鄭珊珊</t>
    <phoneticPr fontId="4" type="noConversion"/>
  </si>
  <si>
    <t>黃睿騰</t>
    <phoneticPr fontId="4" type="noConversion"/>
  </si>
  <si>
    <t>善心人士</t>
    <phoneticPr fontId="4" type="noConversion"/>
  </si>
  <si>
    <t>10罐</t>
    <phoneticPr fontId="4" type="noConversion"/>
  </si>
  <si>
    <t>陳惠如</t>
    <phoneticPr fontId="4" type="noConversion"/>
  </si>
  <si>
    <t>業嘉惠</t>
    <phoneticPr fontId="4" type="noConversion"/>
  </si>
  <si>
    <t>4罐</t>
    <phoneticPr fontId="4" type="noConversion"/>
  </si>
  <si>
    <t>徐秋蘭</t>
    <phoneticPr fontId="4" type="noConversion"/>
  </si>
  <si>
    <t>6罐</t>
    <phoneticPr fontId="4" type="noConversion"/>
  </si>
  <si>
    <t>許遵賢</t>
    <phoneticPr fontId="4" type="noConversion"/>
  </si>
  <si>
    <t>3罐</t>
    <phoneticPr fontId="4" type="noConversion"/>
  </si>
  <si>
    <t>陳詠羨</t>
    <phoneticPr fontId="4" type="noConversion"/>
  </si>
  <si>
    <t>王秋香</t>
    <phoneticPr fontId="4" type="noConversion"/>
  </si>
  <si>
    <t>莊雯婷</t>
    <phoneticPr fontId="4" type="noConversion"/>
  </si>
  <si>
    <t>隆鈺專業汽車美容中心</t>
    <phoneticPr fontId="4" type="noConversion"/>
  </si>
  <si>
    <t>003245</t>
    <phoneticPr fontId="4" type="noConversion"/>
  </si>
  <si>
    <t>光泉鮮奶</t>
    <phoneticPr fontId="4" type="noConversion"/>
  </si>
  <si>
    <t>003232</t>
    <phoneticPr fontId="4" type="noConversion"/>
  </si>
  <si>
    <t>003233</t>
    <phoneticPr fontId="4" type="noConversion"/>
  </si>
  <si>
    <t>003234</t>
    <phoneticPr fontId="4" type="noConversion"/>
  </si>
  <si>
    <t>003235</t>
    <phoneticPr fontId="4" type="noConversion"/>
  </si>
  <si>
    <t>003236</t>
    <phoneticPr fontId="4" type="noConversion"/>
  </si>
  <si>
    <t>003237</t>
    <phoneticPr fontId="4" type="noConversion"/>
  </si>
  <si>
    <t>003238</t>
    <phoneticPr fontId="4" type="noConversion"/>
  </si>
  <si>
    <t>003239</t>
    <phoneticPr fontId="4" type="noConversion"/>
  </si>
  <si>
    <t>003240</t>
    <phoneticPr fontId="4" type="noConversion"/>
  </si>
  <si>
    <t>003241</t>
    <phoneticPr fontId="4" type="noConversion"/>
  </si>
  <si>
    <t>003242</t>
    <phoneticPr fontId="4" type="noConversion"/>
  </si>
  <si>
    <t>003243</t>
    <phoneticPr fontId="4" type="noConversion"/>
  </si>
  <si>
    <t>003244</t>
    <phoneticPr fontId="4" type="noConversion"/>
  </si>
  <si>
    <t>003246</t>
    <phoneticPr fontId="4" type="noConversion"/>
  </si>
  <si>
    <t xml:space="preserve">苗栗縣慈善愛心會 </t>
    <phoneticPr fontId="4" type="noConversion"/>
  </si>
  <si>
    <t>橘子</t>
    <phoneticPr fontId="4" type="noConversion"/>
  </si>
  <si>
    <t>5箱</t>
    <phoneticPr fontId="4" type="noConversion"/>
  </si>
  <si>
    <t>003247</t>
    <phoneticPr fontId="4" type="noConversion"/>
  </si>
  <si>
    <t>善心人士</t>
    <phoneticPr fontId="4" type="noConversion"/>
  </si>
  <si>
    <t>白米*6袋.沙拉油*6桶.麵*6箱.衛生紙*4箱</t>
    <phoneticPr fontId="4" type="noConversion"/>
  </si>
  <si>
    <t>楊智勛</t>
    <phoneticPr fontId="4" type="noConversion"/>
  </si>
  <si>
    <t>003248</t>
    <phoneticPr fontId="4" type="noConversion"/>
  </si>
  <si>
    <t>003249</t>
    <phoneticPr fontId="4" type="noConversion"/>
  </si>
  <si>
    <t>白米30公斤*20袋.兒童餐具組*21組</t>
    <phoneticPr fontId="4" type="noConversion"/>
  </si>
  <si>
    <t>彭方俊</t>
    <phoneticPr fontId="4" type="noConversion"/>
  </si>
  <si>
    <t>003250</t>
    <phoneticPr fontId="4" type="noConversion"/>
  </si>
  <si>
    <t>神岡無極天元宮慈航聖母愛心會</t>
    <phoneticPr fontId="4" type="noConversion"/>
  </si>
  <si>
    <t>003251</t>
    <phoneticPr fontId="4" type="noConversion"/>
  </si>
  <si>
    <t>甘露餐廳</t>
    <phoneticPr fontId="4" type="noConversion"/>
  </si>
  <si>
    <t>熟食</t>
    <phoneticPr fontId="4" type="noConversion"/>
  </si>
  <si>
    <t>3箱</t>
    <phoneticPr fontId="4" type="noConversion"/>
  </si>
  <si>
    <t>003252</t>
    <phoneticPr fontId="4" type="noConversion"/>
  </si>
  <si>
    <t>1000斤</t>
    <phoneticPr fontId="4" type="noConversion"/>
  </si>
  <si>
    <t>003253</t>
    <phoneticPr fontId="4" type="noConversion"/>
  </si>
  <si>
    <t>元鼎鋁門窗</t>
    <phoneticPr fontId="4" type="noConversion"/>
  </si>
  <si>
    <t>米粉</t>
    <phoneticPr fontId="4" type="noConversion"/>
  </si>
  <si>
    <t>36袋</t>
    <phoneticPr fontId="4" type="noConversion"/>
  </si>
  <si>
    <t>003254</t>
    <phoneticPr fontId="4" type="noConversion"/>
  </si>
  <si>
    <t>彭意順.楊朝欽.劉景煒.徐淑玲.邱秀滿.湯美珍.陳芳瓊.吳美貞.傅湘棋</t>
    <phoneticPr fontId="4" type="noConversion"/>
  </si>
  <si>
    <t>32包</t>
    <phoneticPr fontId="4" type="noConversion"/>
  </si>
  <si>
    <t>003255</t>
    <phoneticPr fontId="4" type="noConversion"/>
  </si>
  <si>
    <t>003256</t>
    <phoneticPr fontId="4" type="noConversion"/>
  </si>
  <si>
    <t>張朝華</t>
    <phoneticPr fontId="4" type="noConversion"/>
  </si>
  <si>
    <t>地瓜</t>
    <phoneticPr fontId="4" type="noConversion"/>
  </si>
  <si>
    <t>5袋</t>
    <phoneticPr fontId="4" type="noConversion"/>
  </si>
  <si>
    <t>003257</t>
    <phoneticPr fontId="4" type="noConversion"/>
  </si>
  <si>
    <t>109 年 2 月捐贈物資使用情形一覽表</t>
    <phoneticPr fontId="4" type="noConversion"/>
  </si>
  <si>
    <t>林三郎</t>
    <phoneticPr fontId="4" type="noConversion"/>
  </si>
  <si>
    <t>白米35公斤*5袋.糙米35公斤*2袋</t>
    <phoneticPr fontId="4" type="noConversion"/>
  </si>
  <si>
    <t>羅瑞香</t>
    <phoneticPr fontId="4" type="noConversion"/>
  </si>
  <si>
    <t>003258</t>
    <phoneticPr fontId="4" type="noConversion"/>
  </si>
  <si>
    <t>饅頭*600個.水果.糖果一批</t>
    <phoneticPr fontId="4" type="noConversion"/>
  </si>
  <si>
    <t>邱榮炘</t>
    <phoneticPr fontId="4" type="noConversion"/>
  </si>
  <si>
    <t>003301</t>
    <phoneticPr fontId="4" type="noConversion"/>
  </si>
  <si>
    <t>善心人士</t>
    <phoneticPr fontId="4" type="noConversion"/>
  </si>
  <si>
    <t>200斤</t>
    <phoneticPr fontId="4" type="noConversion"/>
  </si>
  <si>
    <t>003259</t>
    <phoneticPr fontId="4" type="noConversion"/>
  </si>
  <si>
    <t>佳豪土木包工業</t>
    <phoneticPr fontId="4" type="noConversion"/>
  </si>
  <si>
    <t>LED燈*100盞(價值台幣:65000元)</t>
    <phoneticPr fontId="4" type="noConversion"/>
  </si>
  <si>
    <t>彭方俊</t>
    <phoneticPr fontId="4" type="noConversion"/>
  </si>
  <si>
    <t>院生使用</t>
    <phoneticPr fontId="4" type="noConversion"/>
  </si>
  <si>
    <t>全院</t>
    <phoneticPr fontId="4" type="noConversion"/>
  </si>
  <si>
    <t>003260</t>
    <phoneticPr fontId="4" type="noConversion"/>
  </si>
  <si>
    <t>磁磚30*30F=5355片(267750元).            29*29F=4336片(433600元)                       市價約$701350元</t>
    <phoneticPr fontId="4" type="noConversion"/>
  </si>
  <si>
    <t>003261</t>
    <phoneticPr fontId="4" type="noConversion"/>
  </si>
  <si>
    <t>白米*270公斤.沙拉油*1箱(12公升)</t>
    <phoneticPr fontId="4" type="noConversion"/>
  </si>
  <si>
    <t>邱仕傑</t>
    <phoneticPr fontId="4" type="noConversion"/>
  </si>
  <si>
    <t>003262</t>
    <phoneticPr fontId="4" type="noConversion"/>
  </si>
  <si>
    <t>洗髮精4000ml*6瓶.沐浴乳4000ml*6瓶.身體乳1800ml*6瓶</t>
    <phoneticPr fontId="4" type="noConversion"/>
  </si>
  <si>
    <t>餐廳、入庫</t>
    <phoneticPr fontId="4" type="noConversion"/>
  </si>
  <si>
    <t>003263</t>
    <phoneticPr fontId="4" type="noConversion"/>
  </si>
  <si>
    <t>42包</t>
    <phoneticPr fontId="4" type="noConversion"/>
  </si>
  <si>
    <t>003264</t>
    <phoneticPr fontId="4" type="noConversion"/>
  </si>
  <si>
    <t>同善寺</t>
    <phoneticPr fontId="4" type="noConversion"/>
  </si>
  <si>
    <t>白米30公斤*32袋.物資一批</t>
    <phoneticPr fontId="4" type="noConversion"/>
  </si>
  <si>
    <t>003265</t>
    <phoneticPr fontId="4" type="noConversion"/>
  </si>
  <si>
    <t>後龍中和慈聖宮</t>
    <phoneticPr fontId="4" type="noConversion"/>
  </si>
  <si>
    <t>麵450g*150包.醬油400ml*2瓶.醬油膏420g*2瓶</t>
    <phoneticPr fontId="4" type="noConversion"/>
  </si>
  <si>
    <t>003266</t>
    <phoneticPr fontId="4" type="noConversion"/>
  </si>
  <si>
    <t>羅瑞香</t>
    <phoneticPr fontId="4" type="noConversion"/>
  </si>
  <si>
    <t>餐廳</t>
    <phoneticPr fontId="4" type="noConversion"/>
  </si>
  <si>
    <t>003267</t>
    <phoneticPr fontId="4" type="noConversion"/>
  </si>
  <si>
    <t>33包</t>
    <phoneticPr fontId="4" type="noConversion"/>
  </si>
  <si>
    <t>003268</t>
    <phoneticPr fontId="4" type="noConversion"/>
  </si>
  <si>
    <t>後龍東社天母宮</t>
    <phoneticPr fontId="4" type="noConversion"/>
  </si>
  <si>
    <t>好神拖*3組.清潔劑1公升*12瓶*5箱.漂白水4公升*8桶.衛生紙12包*2箱.食物*1箱.垃圾袋*12包牛奶2.3公斤*4罐.垃圾筒*5個.脫水機*1台.衣服*1袋</t>
    <phoneticPr fontId="4" type="noConversion"/>
  </si>
  <si>
    <t>003269</t>
    <phoneticPr fontId="4" type="noConversion"/>
  </si>
  <si>
    <t>葉月霞.陳俊銘.曾麗萍</t>
    <phoneticPr fontId="4" type="noConversion"/>
  </si>
  <si>
    <t>葡萄乾*15罐.綜合堅果*10瓶.圓緣果*5包</t>
    <phoneticPr fontId="4" type="noConversion"/>
  </si>
  <si>
    <t>003270</t>
    <phoneticPr fontId="4" type="noConversion"/>
  </si>
  <si>
    <t>葉月琴</t>
    <phoneticPr fontId="4" type="noConversion"/>
  </si>
  <si>
    <t>30包</t>
  </si>
  <si>
    <t>圓緣果</t>
    <phoneticPr fontId="4" type="noConversion"/>
  </si>
  <si>
    <t>院生食用</t>
    <phoneticPr fontId="4" type="noConversion"/>
  </si>
  <si>
    <t>003302</t>
    <phoneticPr fontId="4" type="noConversion"/>
  </si>
  <si>
    <t>003271</t>
    <phoneticPr fontId="4" type="noConversion"/>
  </si>
  <si>
    <t>銅鑼五福廟</t>
    <phoneticPr fontId="4" type="noConversion"/>
  </si>
  <si>
    <t>白米</t>
    <phoneticPr fontId="4" type="noConversion"/>
  </si>
  <si>
    <t>75公斤</t>
    <phoneticPr fontId="4" type="noConversion"/>
  </si>
  <si>
    <t>003272</t>
    <phoneticPr fontId="4" type="noConversion"/>
  </si>
  <si>
    <t>彭意順.楊朝欽.劉景煒.徐淑玲.邱秀滿.湯美珍.陳芳瓊.吳美貞.傅湘棋.胡鳳蓮.陳春美</t>
    <phoneticPr fontId="4" type="noConversion"/>
  </si>
  <si>
    <t>45包</t>
    <phoneticPr fontId="4" type="noConversion"/>
  </si>
  <si>
    <t>109 年 3 月捐贈物資使用情形一覽表</t>
    <phoneticPr fontId="4" type="noConversion"/>
  </si>
  <si>
    <t>003273</t>
    <phoneticPr fontId="4" type="noConversion"/>
  </si>
  <si>
    <t>黃榆穎</t>
    <phoneticPr fontId="4" type="noConversion"/>
  </si>
  <si>
    <t>襪子</t>
    <phoneticPr fontId="4" type="noConversion"/>
  </si>
  <si>
    <t>27雙</t>
    <phoneticPr fontId="4" type="noConversion"/>
  </si>
  <si>
    <t>羅瑞香</t>
    <phoneticPr fontId="4" type="noConversion"/>
  </si>
  <si>
    <t>入庫</t>
    <phoneticPr fontId="4" type="noConversion"/>
  </si>
  <si>
    <t xml:space="preserve">斌倫實業開發股份有限公司        </t>
    <phoneticPr fontId="4" type="noConversion"/>
  </si>
  <si>
    <t xml:space="preserve">會計:             出納:             主任:               董事長:               機構章:    </t>
    <phoneticPr fontId="4" type="noConversion"/>
  </si>
  <si>
    <t xml:space="preserve">迦威實業股份有限公司              </t>
    <phoneticPr fontId="4" type="noConversion"/>
  </si>
  <si>
    <t xml:space="preserve">精工陶瓷股份有限公司        </t>
    <phoneticPr fontId="4" type="noConversion"/>
  </si>
  <si>
    <t>003274</t>
    <phoneticPr fontId="4" type="noConversion"/>
  </si>
  <si>
    <t>同善寺</t>
    <phoneticPr fontId="4" type="noConversion"/>
  </si>
  <si>
    <t>沙拉油</t>
    <phoneticPr fontId="4" type="noConversion"/>
  </si>
  <si>
    <t>2桶</t>
    <phoneticPr fontId="4" type="noConversion"/>
  </si>
  <si>
    <t>003275</t>
    <phoneticPr fontId="4" type="noConversion"/>
  </si>
  <si>
    <t>林建佑</t>
    <phoneticPr fontId="4" type="noConversion"/>
  </si>
  <si>
    <t>電扇</t>
    <phoneticPr fontId="4" type="noConversion"/>
  </si>
  <si>
    <t>14台</t>
    <phoneticPr fontId="4" type="noConversion"/>
  </si>
  <si>
    <t>003276</t>
    <phoneticPr fontId="4" type="noConversion"/>
  </si>
  <si>
    <t>30包</t>
    <phoneticPr fontId="4" type="noConversion"/>
  </si>
  <si>
    <t>003277</t>
    <phoneticPr fontId="4" type="noConversion"/>
  </si>
  <si>
    <t>頭份無極九玄宮</t>
    <phoneticPr fontId="4" type="noConversion"/>
  </si>
  <si>
    <t>白米*423公斤.醬油.沙拉油.水果一批</t>
    <phoneticPr fontId="4" type="noConversion"/>
  </si>
  <si>
    <t>003278</t>
    <phoneticPr fontId="4" type="noConversion"/>
  </si>
  <si>
    <t>新竹青草湖靈隱寺</t>
    <phoneticPr fontId="4" type="noConversion"/>
  </si>
  <si>
    <t>白米*140公斤.饅頭.壽桃.餅乾.熟食一批</t>
    <phoneticPr fontId="4" type="noConversion"/>
  </si>
  <si>
    <t>003279</t>
    <phoneticPr fontId="4" type="noConversion"/>
  </si>
  <si>
    <t>寶山食品有限公司  張惠中</t>
    <phoneticPr fontId="4" type="noConversion"/>
  </si>
  <si>
    <t>餅乾</t>
    <phoneticPr fontId="4" type="noConversion"/>
  </si>
  <si>
    <t>8箱</t>
    <phoneticPr fontId="4" type="noConversion"/>
  </si>
  <si>
    <t>院生食用</t>
    <phoneticPr fontId="4" type="noConversion"/>
  </si>
  <si>
    <t>003280</t>
    <phoneticPr fontId="4" type="noConversion"/>
  </si>
  <si>
    <t>一批</t>
    <phoneticPr fontId="4" type="noConversion"/>
  </si>
  <si>
    <t>楊智勛</t>
    <phoneticPr fontId="4" type="noConversion"/>
  </si>
  <si>
    <t>003281</t>
    <phoneticPr fontId="4" type="noConversion"/>
  </si>
  <si>
    <t>食樂美</t>
    <phoneticPr fontId="4" type="noConversion"/>
  </si>
  <si>
    <t>煎包</t>
    <phoneticPr fontId="4" type="noConversion"/>
  </si>
  <si>
    <t>28個</t>
    <phoneticPr fontId="4" type="noConversion"/>
  </si>
  <si>
    <t>003282</t>
    <phoneticPr fontId="4" type="noConversion"/>
  </si>
  <si>
    <t>後龍中和慈聖宮</t>
    <phoneticPr fontId="4" type="noConversion"/>
  </si>
  <si>
    <t>營養麵280g*60包.四季營養麵450g*90包.龍口圍爐粉絲300g*18包.味精500g*4盒</t>
    <phoneticPr fontId="4" type="noConversion"/>
  </si>
  <si>
    <t>003283</t>
    <phoneticPr fontId="4" type="noConversion"/>
  </si>
  <si>
    <t>51包</t>
    <phoneticPr fontId="4" type="noConversion"/>
  </si>
  <si>
    <t>003284</t>
    <phoneticPr fontId="4" type="noConversion"/>
  </si>
  <si>
    <t>中華紙漿股份有限公司</t>
    <phoneticPr fontId="4" type="noConversion"/>
  </si>
  <si>
    <t>A4影印紙</t>
    <phoneticPr fontId="4" type="noConversion"/>
  </si>
  <si>
    <t>120包</t>
    <phoneticPr fontId="4" type="noConversion"/>
  </si>
  <si>
    <t>辦公室</t>
    <phoneticPr fontId="4" type="noConversion"/>
  </si>
  <si>
    <t>行政.教保.社工</t>
    <phoneticPr fontId="4" type="noConversion"/>
  </si>
  <si>
    <t>003285</t>
    <phoneticPr fontId="4" type="noConversion"/>
  </si>
  <si>
    <t>孫秀英</t>
    <phoneticPr fontId="4" type="noConversion"/>
  </si>
  <si>
    <t>發票</t>
    <phoneticPr fontId="4" type="noConversion"/>
  </si>
  <si>
    <t>003286</t>
    <phoneticPr fontId="4" type="noConversion"/>
  </si>
  <si>
    <t>003303</t>
    <phoneticPr fontId="4" type="noConversion"/>
  </si>
  <si>
    <t>邱仁智.陳佩玲.邱若晴.邱彥儒</t>
    <phoneticPr fontId="4" type="noConversion"/>
  </si>
  <si>
    <t>白米3公斤</t>
    <phoneticPr fontId="4" type="noConversion"/>
  </si>
  <si>
    <t>29包</t>
    <phoneticPr fontId="4" type="noConversion"/>
  </si>
  <si>
    <t>楊淯晴</t>
    <phoneticPr fontId="4" type="noConversion"/>
  </si>
  <si>
    <t>003304</t>
    <phoneticPr fontId="4" type="noConversion"/>
  </si>
  <si>
    <t>003305</t>
    <phoneticPr fontId="4" type="noConversion"/>
  </si>
  <si>
    <t>魏劉月春.魏美華.魏迦欣</t>
    <phoneticPr fontId="4" type="noConversion"/>
  </si>
  <si>
    <t>7包</t>
    <phoneticPr fontId="4" type="noConversion"/>
  </si>
  <si>
    <t>003306</t>
    <phoneticPr fontId="4" type="noConversion"/>
  </si>
  <si>
    <t>鐘明芳.梁淑貞.鍾凱任.鍾潔.賴惠茹.鍾靜忻</t>
    <phoneticPr fontId="4" type="noConversion"/>
  </si>
  <si>
    <t>14包</t>
    <phoneticPr fontId="4" type="noConversion"/>
  </si>
  <si>
    <t>003307</t>
    <phoneticPr fontId="4" type="noConversion"/>
  </si>
  <si>
    <t>謝其彬.謝彭貴美.黃春美.謝品妍.謝采恆.謝易達</t>
    <phoneticPr fontId="4" type="noConversion"/>
  </si>
  <si>
    <t>16包</t>
    <phoneticPr fontId="4" type="noConversion"/>
  </si>
  <si>
    <t>003308</t>
    <phoneticPr fontId="4" type="noConversion"/>
  </si>
  <si>
    <t>傅民祺.方凱溱.傅靖宸.傅靖恩</t>
    <phoneticPr fontId="4" type="noConversion"/>
  </si>
  <si>
    <t>003309</t>
    <phoneticPr fontId="4" type="noConversion"/>
  </si>
  <si>
    <t>童美英</t>
    <phoneticPr fontId="4" type="noConversion"/>
  </si>
  <si>
    <t>14包</t>
    <phoneticPr fontId="4" type="noConversion"/>
  </si>
  <si>
    <t>003310</t>
    <phoneticPr fontId="4" type="noConversion"/>
  </si>
  <si>
    <t>邱瑞敏.陳振光.陳豫祥.陳芃榛</t>
    <phoneticPr fontId="4" type="noConversion"/>
  </si>
  <si>
    <t>10包</t>
    <phoneticPr fontId="4" type="noConversion"/>
  </si>
  <si>
    <t>003311</t>
    <phoneticPr fontId="4" type="noConversion"/>
  </si>
  <si>
    <t>蔡明純.劉世敬.劉綠庭.劉韋廷</t>
    <phoneticPr fontId="4" type="noConversion"/>
  </si>
  <si>
    <t>003312</t>
    <phoneticPr fontId="4" type="noConversion"/>
  </si>
  <si>
    <t>林文發.巫秀玲.林宦臣.謝玉玲.林采樂.林鉦皓</t>
    <phoneticPr fontId="4" type="noConversion"/>
  </si>
  <si>
    <t>003313</t>
    <phoneticPr fontId="4" type="noConversion"/>
  </si>
  <si>
    <t>李海燕</t>
    <phoneticPr fontId="4" type="noConversion"/>
  </si>
  <si>
    <t>003314</t>
    <phoneticPr fontId="4" type="noConversion"/>
  </si>
  <si>
    <t>邱哲臣.邱瑞娟.邱瑞芳.邱文俊</t>
    <phoneticPr fontId="4" type="noConversion"/>
  </si>
  <si>
    <t>10包</t>
    <phoneticPr fontId="4" type="noConversion"/>
  </si>
  <si>
    <t>003315</t>
    <phoneticPr fontId="4" type="noConversion"/>
  </si>
  <si>
    <t>劉惠菁</t>
    <phoneticPr fontId="4" type="noConversion"/>
  </si>
  <si>
    <t>003287</t>
    <phoneticPr fontId="4" type="noConversion"/>
  </si>
  <si>
    <t>饅頭</t>
    <phoneticPr fontId="4" type="noConversion"/>
  </si>
  <si>
    <t>500顆</t>
    <phoneticPr fontId="4" type="noConversion"/>
  </si>
  <si>
    <t>003288</t>
    <phoneticPr fontId="4" type="noConversion"/>
  </si>
  <si>
    <t>彭意順.楊朝欽.劉景煒.徐淑玲.邱秀滿.湯美珍.陳芳瓊.吳美貞.傅湘棋.胡鳳蓮.陳春美.吳瑞瑛</t>
    <phoneticPr fontId="4" type="noConversion"/>
  </si>
  <si>
    <t>47包</t>
    <phoneticPr fontId="4" type="noConversion"/>
  </si>
  <si>
    <t>003289</t>
    <phoneticPr fontId="4" type="noConversion"/>
  </si>
  <si>
    <t>新北市中和區玄音妙善堂</t>
    <phoneticPr fontId="4" type="noConversion"/>
  </si>
  <si>
    <t>白米</t>
    <phoneticPr fontId="4" type="noConversion"/>
  </si>
  <si>
    <t>500斤</t>
    <phoneticPr fontId="4" type="noConversion"/>
  </si>
  <si>
    <t>彭方俊</t>
    <phoneticPr fontId="4" type="noConversion"/>
  </si>
  <si>
    <t>003290</t>
    <phoneticPr fontId="4" type="noConversion"/>
  </si>
  <si>
    <t>68包</t>
    <phoneticPr fontId="4" type="noConversion"/>
  </si>
  <si>
    <t>003291</t>
    <phoneticPr fontId="4" type="noConversion"/>
  </si>
  <si>
    <t>河間堂</t>
    <phoneticPr fontId="4" type="noConversion"/>
  </si>
  <si>
    <t>100斤</t>
    <phoneticPr fontId="4" type="noConversion"/>
  </si>
  <si>
    <t>109 年 4 月捐贈物資使用情形一覽表</t>
    <phoneticPr fontId="4" type="noConversion"/>
  </si>
  <si>
    <t>003351</t>
    <phoneticPr fontId="4" type="noConversion"/>
  </si>
  <si>
    <t>黃家琳</t>
    <phoneticPr fontId="4" type="noConversion"/>
  </si>
  <si>
    <t>牙膏</t>
    <phoneticPr fontId="4" type="noConversion"/>
  </si>
  <si>
    <t>36條</t>
    <phoneticPr fontId="4" type="noConversion"/>
  </si>
  <si>
    <t>彭勝熙</t>
    <phoneticPr fontId="4" type="noConversion"/>
  </si>
  <si>
    <t>入庫</t>
    <phoneticPr fontId="4" type="noConversion"/>
  </si>
  <si>
    <t>003352</t>
    <phoneticPr fontId="4" type="noConversion"/>
  </si>
  <si>
    <t>張秉謙</t>
    <phoneticPr fontId="4" type="noConversion"/>
  </si>
  <si>
    <t>黃麵</t>
    <phoneticPr fontId="4" type="noConversion"/>
  </si>
  <si>
    <t>30斤</t>
    <phoneticPr fontId="4" type="noConversion"/>
  </si>
  <si>
    <t>羅瑞香</t>
    <phoneticPr fontId="4" type="noConversion"/>
  </si>
  <si>
    <t>餐廳</t>
    <phoneticPr fontId="4" type="noConversion"/>
  </si>
  <si>
    <t>003353</t>
    <phoneticPr fontId="4" type="noConversion"/>
  </si>
  <si>
    <t>梁金菊</t>
    <phoneticPr fontId="4" type="noConversion"/>
  </si>
  <si>
    <t>牙膏.奶粉.電池</t>
    <phoneticPr fontId="4" type="noConversion"/>
  </si>
  <si>
    <t>一批</t>
    <phoneticPr fontId="4" type="noConversion"/>
  </si>
  <si>
    <t>入庫</t>
    <phoneticPr fontId="4" type="noConversion"/>
  </si>
  <si>
    <t>003354</t>
    <phoneticPr fontId="4" type="noConversion"/>
  </si>
  <si>
    <t>萊爾富苗苑店</t>
    <phoneticPr fontId="4" type="noConversion"/>
  </si>
  <si>
    <t>院生食用.使用</t>
    <phoneticPr fontId="4" type="noConversion"/>
  </si>
  <si>
    <t>洗髮乳1000ml*2瓶.沐浴乳1000ml*9瓶</t>
    <phoneticPr fontId="4" type="noConversion"/>
  </si>
  <si>
    <t>003355</t>
    <phoneticPr fontId="4" type="noConversion"/>
  </si>
  <si>
    <t>迦威實業股份有限公司</t>
    <phoneticPr fontId="4" type="noConversion"/>
  </si>
  <si>
    <t>沐浴乳4000ml*6罐.身體乳1800ml*6罐.洗手乳4000ml*6罐</t>
    <phoneticPr fontId="4" type="noConversion"/>
  </si>
  <si>
    <t>003356</t>
    <phoneticPr fontId="4" type="noConversion"/>
  </si>
  <si>
    <t>善心人士</t>
    <phoneticPr fontId="4" type="noConversion"/>
  </si>
  <si>
    <t>橡膠手套(L)*20雙.     (M)*20雙</t>
    <phoneticPr fontId="4" type="noConversion"/>
  </si>
  <si>
    <t>邱仕傑</t>
    <phoneticPr fontId="4" type="noConversion"/>
  </si>
  <si>
    <t>院生.工作人員使用</t>
    <phoneticPr fontId="4" type="noConversion"/>
  </si>
  <si>
    <t>003357</t>
    <phoneticPr fontId="4" type="noConversion"/>
  </si>
  <si>
    <t>電風扇12吋</t>
    <phoneticPr fontId="4" type="noConversion"/>
  </si>
  <si>
    <t>1台</t>
    <phoneticPr fontId="4" type="noConversion"/>
  </si>
  <si>
    <t>003358</t>
    <phoneticPr fontId="4" type="noConversion"/>
  </si>
  <si>
    <t>奶粉3600公克*3罐.漂白水3.3公斤*1桶.酒精750ml*2瓶.沐浴乳2000ml*2瓶</t>
    <phoneticPr fontId="4" type="noConversion"/>
  </si>
  <si>
    <t>003359</t>
    <phoneticPr fontId="4" type="noConversion"/>
  </si>
  <si>
    <t>73包</t>
    <phoneticPr fontId="4" type="noConversion"/>
  </si>
  <si>
    <t>餐廳</t>
    <phoneticPr fontId="4" type="noConversion"/>
  </si>
  <si>
    <t>003360</t>
    <phoneticPr fontId="4" type="noConversion"/>
  </si>
  <si>
    <t>苑裡圓融精舍</t>
    <phoneticPr fontId="4" type="noConversion"/>
  </si>
  <si>
    <t>5箱</t>
    <phoneticPr fontId="4" type="noConversion"/>
  </si>
  <si>
    <t>蘋果.水果</t>
    <phoneticPr fontId="4" type="noConversion"/>
  </si>
  <si>
    <t>曾愛珍</t>
    <phoneticPr fontId="4" type="noConversion"/>
  </si>
  <si>
    <t>003361</t>
    <phoneticPr fontId="4" type="noConversion"/>
  </si>
  <si>
    <t>高雄市明淨佛化會</t>
    <phoneticPr fontId="4" type="noConversion"/>
  </si>
  <si>
    <t>素燥*50包.關廟麵*1箱.沙拉油*1箱.饅頭*90粒.大悲水*1箱.師承集*3本.世外桃源CD*2片</t>
    <phoneticPr fontId="4" type="noConversion"/>
  </si>
  <si>
    <t>楊淯晴</t>
    <phoneticPr fontId="4" type="noConversion"/>
  </si>
  <si>
    <t>院生食用.使用</t>
    <phoneticPr fontId="4" type="noConversion"/>
  </si>
  <si>
    <t>003362</t>
    <phoneticPr fontId="4" type="noConversion"/>
  </si>
  <si>
    <t>葉茂林</t>
    <phoneticPr fontId="4" type="noConversion"/>
  </si>
  <si>
    <t>白米</t>
    <phoneticPr fontId="4" type="noConversion"/>
  </si>
  <si>
    <t>100斤</t>
    <phoneticPr fontId="4" type="noConversion"/>
  </si>
  <si>
    <t>詹啟暘</t>
    <phoneticPr fontId="4" type="noConversion"/>
  </si>
  <si>
    <t>003363</t>
    <phoneticPr fontId="4" type="noConversion"/>
  </si>
  <si>
    <t>銅鑼九九大賣場</t>
    <phoneticPr fontId="4" type="noConversion"/>
  </si>
  <si>
    <t>發票</t>
    <phoneticPr fontId="4" type="noConversion"/>
  </si>
  <si>
    <t>45張</t>
    <phoneticPr fontId="4" type="noConversion"/>
  </si>
  <si>
    <t>003364</t>
    <phoneticPr fontId="4" type="noConversion"/>
  </si>
  <si>
    <t>偉昌電氣工程有限公司</t>
    <phoneticPr fontId="4" type="noConversion"/>
  </si>
  <si>
    <t>15張</t>
    <phoneticPr fontId="4" type="noConversion"/>
  </si>
  <si>
    <t>003365</t>
    <phoneticPr fontId="4" type="noConversion"/>
  </si>
  <si>
    <t>國全精密工業故份有限公司</t>
    <phoneticPr fontId="4" type="noConversion"/>
  </si>
  <si>
    <t>53張</t>
    <phoneticPr fontId="4" type="noConversion"/>
  </si>
  <si>
    <t>003366</t>
    <phoneticPr fontId="4" type="noConversion"/>
  </si>
  <si>
    <t>苗強紙器有限公司</t>
    <phoneticPr fontId="4" type="noConversion"/>
  </si>
  <si>
    <t>376張</t>
    <phoneticPr fontId="4" type="noConversion"/>
  </si>
  <si>
    <t>003367</t>
    <phoneticPr fontId="4" type="noConversion"/>
  </si>
  <si>
    <t>日星文具行</t>
    <phoneticPr fontId="4" type="noConversion"/>
  </si>
  <si>
    <t>5張</t>
    <phoneticPr fontId="4" type="noConversion"/>
  </si>
  <si>
    <t>003368</t>
    <phoneticPr fontId="4" type="noConversion"/>
  </si>
  <si>
    <t>54包</t>
    <phoneticPr fontId="4" type="noConversion"/>
  </si>
  <si>
    <t>詹啟暘</t>
    <phoneticPr fontId="4" type="noConversion"/>
  </si>
  <si>
    <t>003369</t>
    <phoneticPr fontId="4" type="noConversion"/>
  </si>
  <si>
    <t>三寶弟子</t>
    <phoneticPr fontId="4" type="noConversion"/>
  </si>
  <si>
    <t>米30公斤*5袋.物資一批</t>
    <phoneticPr fontId="4" type="noConversion"/>
  </si>
  <si>
    <t>彭方俊</t>
    <phoneticPr fontId="4" type="noConversion"/>
  </si>
  <si>
    <t>003370</t>
    <phoneticPr fontId="4" type="noConversion"/>
  </si>
  <si>
    <t>中和金山禪寺</t>
    <phoneticPr fontId="4" type="noConversion"/>
  </si>
  <si>
    <t>白米*100斤.關廟麵*40斤.素鬆*10包</t>
    <phoneticPr fontId="4" type="noConversion"/>
  </si>
  <si>
    <t>003371</t>
    <phoneticPr fontId="4" type="noConversion"/>
  </si>
  <si>
    <t>詹后尹</t>
    <phoneticPr fontId="4" type="noConversion"/>
  </si>
  <si>
    <t>蔬菜</t>
    <phoneticPr fontId="4" type="noConversion"/>
  </si>
  <si>
    <t>003372</t>
    <phoneticPr fontId="4" type="noConversion"/>
  </si>
  <si>
    <t>協昌企業社</t>
    <phoneticPr fontId="4" type="noConversion"/>
  </si>
  <si>
    <t>香菇素蠔油360g</t>
    <phoneticPr fontId="4" type="noConversion"/>
  </si>
  <si>
    <t>70瓶</t>
    <phoneticPr fontId="4" type="noConversion"/>
  </si>
  <si>
    <t>003373</t>
    <phoneticPr fontId="4" type="noConversion"/>
  </si>
  <si>
    <t>虎尾天后宮聖慈壇慈善會</t>
    <phoneticPr fontId="4" type="noConversion"/>
  </si>
  <si>
    <t>八寶粥</t>
    <phoneticPr fontId="4" type="noConversion"/>
  </si>
  <si>
    <t>20箱</t>
    <phoneticPr fontId="4" type="noConversion"/>
  </si>
  <si>
    <t>003374</t>
    <phoneticPr fontId="4" type="noConversion"/>
  </si>
  <si>
    <t>003375</t>
    <phoneticPr fontId="4" type="noConversion"/>
  </si>
  <si>
    <t>003376</t>
    <phoneticPr fontId="4" type="noConversion"/>
  </si>
  <si>
    <t>003377</t>
    <phoneticPr fontId="4" type="noConversion"/>
  </si>
  <si>
    <t>范順生</t>
    <phoneticPr fontId="4" type="noConversion"/>
  </si>
  <si>
    <t>乳膠手套*5盒.3號電池*5盒.牙膏*12盒.奶粉*6罐</t>
    <phoneticPr fontId="4" type="noConversion"/>
  </si>
  <si>
    <t>003378</t>
    <phoneticPr fontId="4" type="noConversion"/>
  </si>
  <si>
    <t>70包</t>
    <phoneticPr fontId="4" type="noConversion"/>
  </si>
  <si>
    <t>003379</t>
    <phoneticPr fontId="4" type="noConversion"/>
  </si>
  <si>
    <t>賴林素芬</t>
    <phoneticPr fontId="4" type="noConversion"/>
  </si>
  <si>
    <t>白米*32.4公斤.飲料一批(8公升)</t>
    <phoneticPr fontId="4" type="noConversion"/>
  </si>
  <si>
    <t>003380</t>
    <phoneticPr fontId="4" type="noConversion"/>
  </si>
  <si>
    <t>弘法院</t>
    <phoneticPr fontId="4" type="noConversion"/>
  </si>
  <si>
    <t>醬油*19.2公升.白米*150公斤.礦泉水*43.2公升.麥片*8.4公斤.沙拉油*46.8公升.麵*5.2公斤.糖*4.8公斤.鹽*5公斤.電風扇14吋*2台.麵*8.5公斤</t>
    <phoneticPr fontId="4" type="noConversion"/>
  </si>
  <si>
    <t>003381</t>
    <phoneticPr fontId="4" type="noConversion"/>
  </si>
  <si>
    <t>承佛實業股份有限公司</t>
    <phoneticPr fontId="4" type="noConversion"/>
  </si>
  <si>
    <t>蔬菜</t>
    <phoneticPr fontId="4" type="noConversion"/>
  </si>
  <si>
    <t>一批</t>
    <phoneticPr fontId="4" type="noConversion"/>
  </si>
  <si>
    <t>003382</t>
    <phoneticPr fontId="4" type="noConversion"/>
  </si>
  <si>
    <t>通霄拱天宮</t>
    <phoneticPr fontId="4" type="noConversion"/>
  </si>
  <si>
    <t>白米*72公斤.醬油*26公升.沙拉油*61公升.剝皮辣椒*11.7公斤.米粉*9.3公斤.八寶粥*78罐.礦泉水*14.4公升.麵*26.3公斤.沐浴乳*9瓶.洗髮精*2瓶.飲料*39公升</t>
    <phoneticPr fontId="4" type="noConversion"/>
  </si>
  <si>
    <t>003383</t>
    <phoneticPr fontId="4" type="noConversion"/>
  </si>
  <si>
    <t>白米3公斤*5包.沙拉油1公升*5瓶.麥片700克*5罐.舒跑245毫升*30瓶</t>
    <phoneticPr fontId="4" type="noConversion"/>
  </si>
  <si>
    <t>003384</t>
    <phoneticPr fontId="4" type="noConversion"/>
  </si>
  <si>
    <t>003385</t>
    <phoneticPr fontId="4" type="noConversion"/>
  </si>
  <si>
    <t>30包</t>
    <phoneticPr fontId="4" type="noConversion"/>
  </si>
  <si>
    <t>003386</t>
    <phoneticPr fontId="4" type="noConversion"/>
  </si>
  <si>
    <t>河間堂</t>
    <phoneticPr fontId="4" type="noConversion"/>
  </si>
  <si>
    <t>白米</t>
    <phoneticPr fontId="4" type="noConversion"/>
  </si>
  <si>
    <t>100斤</t>
    <phoneticPr fontId="4" type="noConversion"/>
  </si>
  <si>
    <t>109年 5 月捐贈物資使用情形一覽表</t>
    <phoneticPr fontId="4" type="noConversion"/>
  </si>
  <si>
    <t>003387</t>
    <phoneticPr fontId="4" type="noConversion"/>
  </si>
  <si>
    <t>蔬菜*10籃.玉米筍*1籃</t>
    <phoneticPr fontId="4" type="noConversion"/>
  </si>
  <si>
    <t>羅瑞香</t>
    <phoneticPr fontId="4" type="noConversion"/>
  </si>
  <si>
    <t>003388</t>
    <phoneticPr fontId="4" type="noConversion"/>
  </si>
  <si>
    <t>台中市亞倫獅子會</t>
    <phoneticPr fontId="4" type="noConversion"/>
  </si>
  <si>
    <t>白米*1000斤.物資一批</t>
    <phoneticPr fontId="4" type="noConversion"/>
  </si>
  <si>
    <t>003389</t>
    <phoneticPr fontId="4" type="noConversion"/>
  </si>
  <si>
    <t>李至盛</t>
    <phoneticPr fontId="4" type="noConversion"/>
  </si>
  <si>
    <t>蛋</t>
    <phoneticPr fontId="4" type="noConversion"/>
  </si>
  <si>
    <t>2箱</t>
    <phoneticPr fontId="4" type="noConversion"/>
  </si>
  <si>
    <t>003390</t>
    <phoneticPr fontId="4" type="noConversion"/>
  </si>
  <si>
    <t>善心人士</t>
    <phoneticPr fontId="4" type="noConversion"/>
  </si>
  <si>
    <t>輕便雨衣</t>
    <phoneticPr fontId="4" type="noConversion"/>
  </si>
  <si>
    <t>100件</t>
    <phoneticPr fontId="4" type="noConversion"/>
  </si>
  <si>
    <t>邱仕傑</t>
    <phoneticPr fontId="4" type="noConversion"/>
  </si>
  <si>
    <t>003391</t>
    <phoneticPr fontId="4" type="noConversion"/>
  </si>
  <si>
    <t>兆凱股份有限公司</t>
    <phoneticPr fontId="4" type="noConversion"/>
  </si>
  <si>
    <t>牙膏</t>
    <phoneticPr fontId="4" type="noConversion"/>
  </si>
  <si>
    <t>12條</t>
    <phoneticPr fontId="4" type="noConversion"/>
  </si>
  <si>
    <t>003392</t>
    <phoneticPr fontId="4" type="noConversion"/>
  </si>
  <si>
    <t>平鎮黃小姐</t>
    <phoneticPr fontId="4" type="noConversion"/>
  </si>
  <si>
    <t>麻糬*100盒.菜燕*250碗</t>
    <phoneticPr fontId="4" type="noConversion"/>
  </si>
  <si>
    <t>院生食用</t>
    <phoneticPr fontId="4" type="noConversion"/>
  </si>
  <si>
    <t>003393</t>
    <phoneticPr fontId="4" type="noConversion"/>
  </si>
  <si>
    <t>台中市慈心慈善會前理事長劉長平.陳奎福.蔡裕欽.童雲中.陳建富</t>
    <phoneticPr fontId="4" type="noConversion"/>
  </si>
  <si>
    <t>橡膠手套*60雙.乳膠手套*16盒.奶粉1公斤*7罐.白米*100斤</t>
    <phoneticPr fontId="4" type="noConversion"/>
  </si>
  <si>
    <t>楊淯晴</t>
    <phoneticPr fontId="4" type="noConversion"/>
  </si>
  <si>
    <t>63包</t>
    <phoneticPr fontId="4" type="noConversion"/>
  </si>
  <si>
    <t>003394</t>
    <phoneticPr fontId="4" type="noConversion"/>
  </si>
  <si>
    <t>003395</t>
    <phoneticPr fontId="4" type="noConversion"/>
  </si>
  <si>
    <t>003396</t>
    <phoneticPr fontId="4" type="noConversion"/>
  </si>
  <si>
    <t>白米30公斤</t>
    <phoneticPr fontId="4" type="noConversion"/>
  </si>
  <si>
    <t>3袋</t>
    <phoneticPr fontId="4" type="noConversion"/>
  </si>
  <si>
    <t>003397</t>
    <phoneticPr fontId="4" type="noConversion"/>
  </si>
  <si>
    <t>沙拉油2公升*30瓶.醬油1000毫升*24瓶.糖450克*60包.白砂糖3公斤*20包.醋600毫升*12瓶.炊粉249克*120包.零食一批.麵65克*210包.麵1200克*48包*鹽1公斤*102包</t>
    <phoneticPr fontId="4" type="noConversion"/>
  </si>
  <si>
    <t>003398</t>
    <phoneticPr fontId="4" type="noConversion"/>
  </si>
  <si>
    <t>林曉君</t>
    <phoneticPr fontId="4" type="noConversion"/>
  </si>
  <si>
    <t>橡膠手套(S)*4盒.     (L)*6盒</t>
    <phoneticPr fontId="4" type="noConversion"/>
  </si>
  <si>
    <t>003399</t>
    <phoneticPr fontId="4" type="noConversion"/>
  </si>
  <si>
    <t>19籃</t>
    <phoneticPr fontId="4" type="noConversion"/>
  </si>
  <si>
    <t>彭方俊</t>
    <phoneticPr fontId="4" type="noConversion"/>
  </si>
  <si>
    <t>003400</t>
    <phoneticPr fontId="4" type="noConversion"/>
  </si>
  <si>
    <t>50包</t>
    <phoneticPr fontId="4" type="noConversion"/>
  </si>
  <si>
    <t>003401</t>
    <phoneticPr fontId="4" type="noConversion"/>
  </si>
  <si>
    <t>吳秉岳</t>
    <phoneticPr fontId="4" type="noConversion"/>
  </si>
  <si>
    <t>牛奶粉</t>
    <phoneticPr fontId="4" type="noConversion"/>
  </si>
  <si>
    <t>2罐</t>
    <phoneticPr fontId="4" type="noConversion"/>
  </si>
  <si>
    <t>院生3餐食用</t>
    <phoneticPr fontId="4" type="noConversion"/>
  </si>
  <si>
    <t>003402</t>
    <phoneticPr fontId="4" type="noConversion"/>
  </si>
  <si>
    <t>66包</t>
    <phoneticPr fontId="4" type="noConversion"/>
  </si>
  <si>
    <t>003403</t>
    <phoneticPr fontId="4" type="noConversion"/>
  </si>
  <si>
    <t>陳怡心</t>
    <phoneticPr fontId="4" type="noConversion"/>
  </si>
  <si>
    <t>手提包</t>
    <phoneticPr fontId="4" type="noConversion"/>
  </si>
  <si>
    <t>2個</t>
    <phoneticPr fontId="4" type="noConversion"/>
  </si>
  <si>
    <t>003404</t>
    <phoneticPr fontId="4" type="noConversion"/>
  </si>
  <si>
    <t>三義湯小姐</t>
    <phoneticPr fontId="4" type="noConversion"/>
  </si>
  <si>
    <t>白米</t>
    <phoneticPr fontId="4" type="noConversion"/>
  </si>
  <si>
    <t>100斤</t>
    <phoneticPr fontId="4" type="noConversion"/>
  </si>
  <si>
    <t>003405</t>
    <phoneticPr fontId="4" type="noConversion"/>
  </si>
  <si>
    <t>32包</t>
    <phoneticPr fontId="4" type="noConversion"/>
  </si>
  <si>
    <t>003406</t>
    <phoneticPr fontId="4" type="noConversion"/>
  </si>
  <si>
    <t>沈明男.沈義鈞</t>
    <phoneticPr fontId="4" type="noConversion"/>
  </si>
  <si>
    <t>玉荷包</t>
    <phoneticPr fontId="4" type="noConversion"/>
  </si>
  <si>
    <t>一批</t>
    <phoneticPr fontId="4" type="noConversion"/>
  </si>
  <si>
    <t>109 年 6 月捐贈物資使用情形一覽表</t>
    <phoneticPr fontId="4" type="noConversion"/>
  </si>
  <si>
    <t>003407</t>
    <phoneticPr fontId="13" type="noConversion"/>
  </si>
  <si>
    <t>幼安教養院</t>
    <phoneticPr fontId="13" type="noConversion"/>
  </si>
  <si>
    <t>衣褲*2箱.生活用品*1箱</t>
    <phoneticPr fontId="13" type="noConversion"/>
  </si>
  <si>
    <t>鍾菊春</t>
    <phoneticPr fontId="4" type="noConversion"/>
  </si>
  <si>
    <t>003408</t>
    <phoneticPr fontId="13" type="noConversion"/>
  </si>
  <si>
    <t>孫秀英</t>
    <phoneticPr fontId="13" type="noConversion"/>
  </si>
  <si>
    <t>3~4月份發票</t>
    <phoneticPr fontId="13" type="noConversion"/>
  </si>
  <si>
    <t>163張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</si>
</sst>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m/d;@"/>
    <numFmt numFmtId="177" formatCode="_-* #,##0_-;\-* #,##0_-;_-* &quot;-&quot;??_-;_-@_-"/>
    <numFmt numFmtId="178" formatCode="m&quot;月&quot;d&quot;日&quot;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5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1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5" fillId="0" borderId="1" xfId="1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7" fontId="5" fillId="0" borderId="0" xfId="1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77" fontId="8" fillId="0" borderId="1" xfId="1" applyNumberFormat="1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7" fontId="5" fillId="0" borderId="1" xfId="1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49" fontId="3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7" fontId="18" fillId="0" borderId="1" xfId="1" applyNumberFormat="1" applyFont="1" applyBorder="1" applyAlignment="1">
      <alignment horizontal="center" vertical="center"/>
    </xf>
    <xf numFmtId="0" fontId="5" fillId="0" borderId="1" xfId="0" quotePrefix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9"/>
  <sheetViews>
    <sheetView topLeftCell="A40" workbookViewId="0">
      <selection activeCell="L10" sqref="L10"/>
    </sheetView>
  </sheetViews>
  <sheetFormatPr defaultRowHeight="16.5" x14ac:dyDescent="0.25"/>
  <cols>
    <col min="1" max="1" width="9.375" style="2" customWidth="1"/>
    <col min="2" max="2" width="8" style="4" customWidth="1"/>
    <col min="3" max="3" width="22.125" style="1" customWidth="1"/>
    <col min="4" max="4" width="27.75" style="1" customWidth="1"/>
    <col min="5" max="5" width="9.625" style="1" customWidth="1"/>
    <col min="6" max="6" width="9.375" style="3" customWidth="1"/>
    <col min="7" max="7" width="14.5" style="5" customWidth="1"/>
    <col min="8" max="8" width="9.5" style="3" customWidth="1"/>
    <col min="9" max="9" width="15.125" style="1" customWidth="1"/>
    <col min="10" max="10" width="13.5" style="1" customWidth="1"/>
    <col min="11" max="16384" width="9" style="1"/>
  </cols>
  <sheetData>
    <row r="1" spans="1:10" ht="32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7.75" x14ac:dyDescent="0.25">
      <c r="A2" s="70" t="s">
        <v>843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" customForma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0" ht="19.5" customHeight="1" x14ac:dyDescent="0.25">
      <c r="A4" s="20" t="s">
        <v>844</v>
      </c>
      <c r="B4" s="11">
        <v>43832</v>
      </c>
      <c r="C4" s="58" t="s">
        <v>845</v>
      </c>
      <c r="D4" s="15" t="s">
        <v>846</v>
      </c>
      <c r="E4" s="8" t="s">
        <v>847</v>
      </c>
      <c r="F4" s="8" t="s">
        <v>848</v>
      </c>
      <c r="G4" s="14">
        <f>60*20</f>
        <v>1200</v>
      </c>
      <c r="H4" s="13"/>
      <c r="I4" s="12" t="s">
        <v>13</v>
      </c>
      <c r="J4" s="12" t="s">
        <v>26</v>
      </c>
    </row>
    <row r="5" spans="1:10" ht="19.5" customHeight="1" x14ac:dyDescent="0.25">
      <c r="A5" s="20" t="s">
        <v>849</v>
      </c>
      <c r="B5" s="11"/>
      <c r="C5" s="58" t="s">
        <v>850</v>
      </c>
      <c r="D5" s="15"/>
      <c r="E5" s="8"/>
      <c r="F5" s="8"/>
      <c r="G5" s="14"/>
      <c r="H5" s="13"/>
      <c r="I5" s="12" t="s">
        <v>13</v>
      </c>
      <c r="J5" s="12" t="s">
        <v>26</v>
      </c>
    </row>
    <row r="6" spans="1:10" ht="21.75" customHeight="1" x14ac:dyDescent="0.25">
      <c r="A6" s="20" t="s">
        <v>851</v>
      </c>
      <c r="B6" s="11">
        <v>43833</v>
      </c>
      <c r="C6" s="56" t="s">
        <v>35</v>
      </c>
      <c r="D6" s="39" t="s">
        <v>36</v>
      </c>
      <c r="E6" s="8" t="s">
        <v>852</v>
      </c>
      <c r="F6" s="8" t="s">
        <v>640</v>
      </c>
      <c r="G6" s="14">
        <f>33*15</f>
        <v>495</v>
      </c>
      <c r="H6" s="13"/>
      <c r="I6" s="12" t="s">
        <v>13</v>
      </c>
      <c r="J6" s="12" t="s">
        <v>853</v>
      </c>
    </row>
    <row r="7" spans="1:10" ht="25.5" customHeight="1" x14ac:dyDescent="0.25">
      <c r="A7" s="20" t="s">
        <v>854</v>
      </c>
      <c r="B7" s="11">
        <v>43836</v>
      </c>
      <c r="C7" s="39" t="s">
        <v>855</v>
      </c>
      <c r="D7" s="39" t="s">
        <v>856</v>
      </c>
      <c r="E7" s="8" t="s">
        <v>857</v>
      </c>
      <c r="F7" s="8" t="s">
        <v>858</v>
      </c>
      <c r="G7" s="14">
        <v>1500</v>
      </c>
      <c r="H7" s="13"/>
      <c r="I7" s="12" t="s">
        <v>15</v>
      </c>
      <c r="J7" s="12" t="s">
        <v>14</v>
      </c>
    </row>
    <row r="8" spans="1:10" ht="25.5" customHeight="1" x14ac:dyDescent="0.25">
      <c r="A8" s="20" t="s">
        <v>859</v>
      </c>
      <c r="B8" s="11">
        <v>43838</v>
      </c>
      <c r="C8" s="39" t="s">
        <v>860</v>
      </c>
      <c r="D8" s="39" t="s">
        <v>884</v>
      </c>
      <c r="E8" s="8" t="s">
        <v>857</v>
      </c>
      <c r="F8" s="8" t="s">
        <v>848</v>
      </c>
      <c r="G8" s="14">
        <v>600</v>
      </c>
      <c r="H8" s="13"/>
      <c r="I8" s="54" t="s">
        <v>901</v>
      </c>
      <c r="J8" s="12" t="s">
        <v>26</v>
      </c>
    </row>
    <row r="9" spans="1:10" ht="25.5" customHeight="1" x14ac:dyDescent="0.25">
      <c r="A9" s="20" t="s">
        <v>861</v>
      </c>
      <c r="B9" s="11">
        <v>43838</v>
      </c>
      <c r="C9" s="39" t="s">
        <v>862</v>
      </c>
      <c r="D9" s="39" t="s">
        <v>884</v>
      </c>
      <c r="E9" s="8" t="s">
        <v>857</v>
      </c>
      <c r="F9" s="8" t="s">
        <v>848</v>
      </c>
      <c r="G9" s="14">
        <v>600</v>
      </c>
      <c r="H9" s="13"/>
      <c r="I9" s="54" t="s">
        <v>901</v>
      </c>
      <c r="J9" s="12" t="s">
        <v>26</v>
      </c>
    </row>
    <row r="10" spans="1:10" ht="25.5" customHeight="1" x14ac:dyDescent="0.25">
      <c r="A10" s="20" t="s">
        <v>863</v>
      </c>
      <c r="B10" s="11">
        <v>43838</v>
      </c>
      <c r="C10" s="39" t="s">
        <v>864</v>
      </c>
      <c r="D10" s="39" t="s">
        <v>884</v>
      </c>
      <c r="E10" s="8" t="s">
        <v>857</v>
      </c>
      <c r="F10" s="8" t="s">
        <v>848</v>
      </c>
      <c r="G10" s="14">
        <v>600</v>
      </c>
      <c r="H10" s="13"/>
      <c r="I10" s="54" t="s">
        <v>901</v>
      </c>
      <c r="J10" s="12" t="s">
        <v>26</v>
      </c>
    </row>
    <row r="11" spans="1:10" ht="25.5" customHeight="1" x14ac:dyDescent="0.25">
      <c r="A11" s="20" t="s">
        <v>865</v>
      </c>
      <c r="B11" s="11">
        <v>43838</v>
      </c>
      <c r="C11" s="39" t="s">
        <v>866</v>
      </c>
      <c r="D11" s="39" t="s">
        <v>884</v>
      </c>
      <c r="E11" s="8" t="s">
        <v>857</v>
      </c>
      <c r="F11" s="8" t="s">
        <v>848</v>
      </c>
      <c r="G11" s="14">
        <v>600</v>
      </c>
      <c r="H11" s="13"/>
      <c r="I11" s="54" t="s">
        <v>901</v>
      </c>
      <c r="J11" s="12" t="s">
        <v>26</v>
      </c>
    </row>
    <row r="12" spans="1:10" ht="25.5" customHeight="1" x14ac:dyDescent="0.25">
      <c r="A12" s="20" t="s">
        <v>867</v>
      </c>
      <c r="B12" s="11">
        <v>43838</v>
      </c>
      <c r="C12" s="39" t="s">
        <v>868</v>
      </c>
      <c r="D12" s="39" t="s">
        <v>884</v>
      </c>
      <c r="E12" s="8" t="s">
        <v>857</v>
      </c>
      <c r="F12" s="8" t="s">
        <v>848</v>
      </c>
      <c r="G12" s="14">
        <v>600</v>
      </c>
      <c r="H12" s="13"/>
      <c r="I12" s="54" t="s">
        <v>901</v>
      </c>
      <c r="J12" s="12" t="s">
        <v>26</v>
      </c>
    </row>
    <row r="13" spans="1:10" ht="25.5" customHeight="1" x14ac:dyDescent="0.25">
      <c r="A13" s="20" t="s">
        <v>883</v>
      </c>
      <c r="B13" s="11">
        <v>43838</v>
      </c>
      <c r="C13" s="39" t="s">
        <v>869</v>
      </c>
      <c r="D13" s="39" t="s">
        <v>884</v>
      </c>
      <c r="E13" s="8" t="s">
        <v>857</v>
      </c>
      <c r="F13" s="8" t="s">
        <v>848</v>
      </c>
      <c r="G13" s="14">
        <v>600</v>
      </c>
      <c r="H13" s="13"/>
      <c r="I13" s="54" t="s">
        <v>901</v>
      </c>
      <c r="J13" s="12" t="s">
        <v>26</v>
      </c>
    </row>
    <row r="14" spans="1:10" ht="25.5" customHeight="1" x14ac:dyDescent="0.25">
      <c r="A14" s="20" t="s">
        <v>885</v>
      </c>
      <c r="B14" s="11">
        <v>43838</v>
      </c>
      <c r="C14" s="39" t="s">
        <v>870</v>
      </c>
      <c r="D14" s="39" t="s">
        <v>884</v>
      </c>
      <c r="E14" s="8" t="s">
        <v>857</v>
      </c>
      <c r="F14" s="8" t="s">
        <v>848</v>
      </c>
      <c r="G14" s="14">
        <v>600</v>
      </c>
      <c r="H14" s="13"/>
      <c r="I14" s="54" t="s">
        <v>901</v>
      </c>
      <c r="J14" s="12" t="s">
        <v>26</v>
      </c>
    </row>
    <row r="15" spans="1:10" ht="25.5" customHeight="1" x14ac:dyDescent="0.25">
      <c r="A15" s="20" t="s">
        <v>886</v>
      </c>
      <c r="B15" s="11">
        <v>43838</v>
      </c>
      <c r="C15" s="39" t="s">
        <v>871</v>
      </c>
      <c r="D15" s="39" t="s">
        <v>884</v>
      </c>
      <c r="E15" s="8" t="s">
        <v>857</v>
      </c>
      <c r="F15" s="8" t="s">
        <v>848</v>
      </c>
      <c r="G15" s="14">
        <v>600</v>
      </c>
      <c r="H15" s="13"/>
      <c r="I15" s="54" t="s">
        <v>901</v>
      </c>
      <c r="J15" s="12" t="s">
        <v>26</v>
      </c>
    </row>
    <row r="16" spans="1:10" ht="25.5" customHeight="1" x14ac:dyDescent="0.25">
      <c r="A16" s="20" t="s">
        <v>887</v>
      </c>
      <c r="B16" s="11">
        <v>43838</v>
      </c>
      <c r="C16" s="39" t="s">
        <v>872</v>
      </c>
      <c r="D16" s="39" t="s">
        <v>884</v>
      </c>
      <c r="E16" s="8" t="s">
        <v>857</v>
      </c>
      <c r="F16" s="8" t="s">
        <v>848</v>
      </c>
      <c r="G16" s="14">
        <v>600</v>
      </c>
      <c r="H16" s="13"/>
      <c r="I16" s="54" t="s">
        <v>901</v>
      </c>
      <c r="J16" s="12" t="s">
        <v>26</v>
      </c>
    </row>
    <row r="17" spans="1:10" ht="25.5" customHeight="1" x14ac:dyDescent="0.25">
      <c r="A17" s="20" t="s">
        <v>888</v>
      </c>
      <c r="B17" s="11">
        <v>43838</v>
      </c>
      <c r="C17" s="39" t="s">
        <v>873</v>
      </c>
      <c r="D17" s="39" t="s">
        <v>884</v>
      </c>
      <c r="E17" s="8" t="s">
        <v>857</v>
      </c>
      <c r="F17" s="8" t="s">
        <v>848</v>
      </c>
      <c r="G17" s="14">
        <v>600</v>
      </c>
      <c r="H17" s="13"/>
      <c r="I17" s="54" t="s">
        <v>901</v>
      </c>
      <c r="J17" s="12" t="s">
        <v>26</v>
      </c>
    </row>
    <row r="18" spans="1:10" ht="25.5" customHeight="1" x14ac:dyDescent="0.25">
      <c r="A18" s="20" t="s">
        <v>889</v>
      </c>
      <c r="B18" s="11">
        <v>43838</v>
      </c>
      <c r="C18" s="39" t="s">
        <v>874</v>
      </c>
      <c r="D18" s="39" t="s">
        <v>884</v>
      </c>
      <c r="E18" s="8" t="s">
        <v>857</v>
      </c>
      <c r="F18" s="8" t="s">
        <v>848</v>
      </c>
      <c r="G18" s="14">
        <v>600</v>
      </c>
      <c r="H18" s="13"/>
      <c r="I18" s="54" t="s">
        <v>901</v>
      </c>
      <c r="J18" s="12" t="s">
        <v>26</v>
      </c>
    </row>
    <row r="19" spans="1:10" ht="25.5" customHeight="1" x14ac:dyDescent="0.25">
      <c r="A19" s="20" t="s">
        <v>890</v>
      </c>
      <c r="B19" s="11">
        <v>43838</v>
      </c>
      <c r="C19" s="39" t="s">
        <v>875</v>
      </c>
      <c r="D19" s="39" t="s">
        <v>884</v>
      </c>
      <c r="E19" s="8" t="s">
        <v>857</v>
      </c>
      <c r="F19" s="8" t="s">
        <v>848</v>
      </c>
      <c r="G19" s="14">
        <v>600</v>
      </c>
      <c r="H19" s="13"/>
      <c r="I19" s="54" t="s">
        <v>901</v>
      </c>
      <c r="J19" s="12" t="s">
        <v>26</v>
      </c>
    </row>
    <row r="20" spans="1:10" ht="25.5" customHeight="1" x14ac:dyDescent="0.25">
      <c r="A20" s="20" t="s">
        <v>891</v>
      </c>
      <c r="B20" s="11">
        <v>43838</v>
      </c>
      <c r="C20" s="39" t="s">
        <v>876</v>
      </c>
      <c r="D20" s="39" t="s">
        <v>884</v>
      </c>
      <c r="E20" s="8" t="s">
        <v>857</v>
      </c>
      <c r="F20" s="8" t="s">
        <v>848</v>
      </c>
      <c r="G20" s="14">
        <v>600</v>
      </c>
      <c r="H20" s="13"/>
      <c r="I20" s="54" t="s">
        <v>901</v>
      </c>
      <c r="J20" s="12" t="s">
        <v>26</v>
      </c>
    </row>
    <row r="21" spans="1:10" ht="25.5" customHeight="1" x14ac:dyDescent="0.25">
      <c r="A21" s="20" t="s">
        <v>892</v>
      </c>
      <c r="B21" s="11">
        <v>43838</v>
      </c>
      <c r="C21" s="59" t="s">
        <v>877</v>
      </c>
      <c r="D21" s="39" t="s">
        <v>884</v>
      </c>
      <c r="E21" s="8" t="s">
        <v>857</v>
      </c>
      <c r="F21" s="8" t="s">
        <v>848</v>
      </c>
      <c r="G21" s="14">
        <v>600</v>
      </c>
      <c r="H21" s="13"/>
      <c r="I21" s="54" t="s">
        <v>901</v>
      </c>
      <c r="J21" s="12" t="s">
        <v>26</v>
      </c>
    </row>
    <row r="22" spans="1:10" ht="25.5" customHeight="1" x14ac:dyDescent="0.25">
      <c r="A22" s="20" t="s">
        <v>893</v>
      </c>
      <c r="B22" s="11">
        <v>43838</v>
      </c>
      <c r="C22" s="56" t="s">
        <v>878</v>
      </c>
      <c r="D22" s="39" t="s">
        <v>884</v>
      </c>
      <c r="E22" s="8" t="s">
        <v>857</v>
      </c>
      <c r="F22" s="8" t="s">
        <v>848</v>
      </c>
      <c r="G22" s="14">
        <v>600</v>
      </c>
      <c r="H22" s="13"/>
      <c r="I22" s="54" t="s">
        <v>901</v>
      </c>
      <c r="J22" s="12" t="s">
        <v>26</v>
      </c>
    </row>
    <row r="23" spans="1:10" ht="25.5" customHeight="1" x14ac:dyDescent="0.25">
      <c r="A23" s="20" t="s">
        <v>894</v>
      </c>
      <c r="B23" s="11">
        <v>43838</v>
      </c>
      <c r="C23" s="56" t="s">
        <v>879</v>
      </c>
      <c r="D23" s="39" t="s">
        <v>884</v>
      </c>
      <c r="E23" s="8" t="s">
        <v>857</v>
      </c>
      <c r="F23" s="8" t="s">
        <v>848</v>
      </c>
      <c r="G23" s="14">
        <v>600</v>
      </c>
      <c r="H23" s="13"/>
      <c r="I23" s="54" t="s">
        <v>901</v>
      </c>
      <c r="J23" s="12" t="s">
        <v>26</v>
      </c>
    </row>
    <row r="24" spans="1:10" ht="25.5" customHeight="1" x14ac:dyDescent="0.25">
      <c r="A24" s="20" t="s">
        <v>895</v>
      </c>
      <c r="B24" s="11">
        <v>43838</v>
      </c>
      <c r="C24" s="56" t="s">
        <v>880</v>
      </c>
      <c r="D24" s="39" t="s">
        <v>884</v>
      </c>
      <c r="E24" s="8" t="s">
        <v>857</v>
      </c>
      <c r="F24" s="8" t="s">
        <v>848</v>
      </c>
      <c r="G24" s="14">
        <v>600</v>
      </c>
      <c r="H24" s="13"/>
      <c r="I24" s="54" t="s">
        <v>901</v>
      </c>
      <c r="J24" s="12" t="s">
        <v>26</v>
      </c>
    </row>
    <row r="25" spans="1:10" ht="25.5" customHeight="1" x14ac:dyDescent="0.25">
      <c r="A25" s="20" t="s">
        <v>896</v>
      </c>
      <c r="B25" s="11">
        <v>43838</v>
      </c>
      <c r="C25" s="56" t="s">
        <v>881</v>
      </c>
      <c r="D25" s="39" t="s">
        <v>884</v>
      </c>
      <c r="E25" s="8" t="s">
        <v>857</v>
      </c>
      <c r="F25" s="8" t="s">
        <v>848</v>
      </c>
      <c r="G25" s="14">
        <v>600</v>
      </c>
      <c r="H25" s="13"/>
      <c r="I25" s="54" t="s">
        <v>901</v>
      </c>
      <c r="J25" s="12" t="s">
        <v>26</v>
      </c>
    </row>
    <row r="26" spans="1:10" ht="25.5" customHeight="1" x14ac:dyDescent="0.25">
      <c r="A26" s="20" t="s">
        <v>897</v>
      </c>
      <c r="B26" s="11">
        <v>43838</v>
      </c>
      <c r="C26" s="56" t="s">
        <v>882</v>
      </c>
      <c r="D26" s="39" t="s">
        <v>884</v>
      </c>
      <c r="E26" s="8" t="s">
        <v>857</v>
      </c>
      <c r="F26" s="8" t="s">
        <v>848</v>
      </c>
      <c r="G26" s="14">
        <v>600</v>
      </c>
      <c r="H26" s="13"/>
      <c r="I26" s="54" t="s">
        <v>901</v>
      </c>
      <c r="J26" s="12" t="s">
        <v>26</v>
      </c>
    </row>
    <row r="27" spans="1:10" ht="21" customHeight="1" x14ac:dyDescent="0.25">
      <c r="A27" s="20" t="s">
        <v>898</v>
      </c>
      <c r="B27" s="11">
        <v>43837</v>
      </c>
      <c r="C27" s="56" t="s">
        <v>899</v>
      </c>
      <c r="D27" s="39" t="s">
        <v>846</v>
      </c>
      <c r="E27" s="57" t="s">
        <v>900</v>
      </c>
      <c r="F27" s="8" t="s">
        <v>640</v>
      </c>
      <c r="G27" s="14">
        <f>600*20</f>
        <v>12000</v>
      </c>
      <c r="H27" s="13"/>
      <c r="I27" s="12" t="s">
        <v>13</v>
      </c>
      <c r="J27" s="12" t="s">
        <v>26</v>
      </c>
    </row>
    <row r="28" spans="1:10" ht="21" customHeight="1" x14ac:dyDescent="0.25">
      <c r="A28" s="20" t="s">
        <v>902</v>
      </c>
      <c r="B28" s="11">
        <v>43839</v>
      </c>
      <c r="C28" s="39" t="s">
        <v>903</v>
      </c>
      <c r="D28" s="39" t="s">
        <v>846</v>
      </c>
      <c r="E28" s="57" t="s">
        <v>904</v>
      </c>
      <c r="F28" s="8" t="s">
        <v>640</v>
      </c>
      <c r="G28" s="14">
        <f>300*20</f>
        <v>6000</v>
      </c>
      <c r="H28" s="13"/>
      <c r="I28" s="12" t="s">
        <v>13</v>
      </c>
      <c r="J28" s="12" t="s">
        <v>26</v>
      </c>
    </row>
    <row r="29" spans="1:10" ht="21" customHeight="1" x14ac:dyDescent="0.25">
      <c r="A29" s="20" t="s">
        <v>905</v>
      </c>
      <c r="B29" s="11">
        <v>43843</v>
      </c>
      <c r="C29" s="39" t="s">
        <v>906</v>
      </c>
      <c r="D29" s="39" t="s">
        <v>907</v>
      </c>
      <c r="E29" s="57" t="s">
        <v>908</v>
      </c>
      <c r="F29" s="8" t="s">
        <v>909</v>
      </c>
      <c r="G29" s="14">
        <v>500</v>
      </c>
      <c r="H29" s="13"/>
      <c r="I29" s="12" t="s">
        <v>23</v>
      </c>
      <c r="J29" s="12" t="s">
        <v>21</v>
      </c>
    </row>
    <row r="30" spans="1:10" ht="21" customHeight="1" x14ac:dyDescent="0.25">
      <c r="A30" s="20" t="s">
        <v>910</v>
      </c>
      <c r="B30" s="11">
        <v>43844</v>
      </c>
      <c r="C30" s="39" t="s">
        <v>911</v>
      </c>
      <c r="D30" s="39" t="s">
        <v>846</v>
      </c>
      <c r="E30" s="57" t="s">
        <v>912</v>
      </c>
      <c r="F30" s="8" t="s">
        <v>909</v>
      </c>
      <c r="G30" s="14">
        <f>400*20</f>
        <v>8000</v>
      </c>
      <c r="H30" s="13"/>
      <c r="I30" s="12" t="s">
        <v>23</v>
      </c>
      <c r="J30" s="12" t="s">
        <v>26</v>
      </c>
    </row>
    <row r="31" spans="1:10" ht="21" customHeight="1" x14ac:dyDescent="0.25">
      <c r="A31" s="20" t="s">
        <v>913</v>
      </c>
      <c r="B31" s="11">
        <v>43844</v>
      </c>
      <c r="C31" s="39" t="s">
        <v>914</v>
      </c>
      <c r="D31" s="39" t="s">
        <v>846</v>
      </c>
      <c r="E31" s="57" t="s">
        <v>915</v>
      </c>
      <c r="F31" s="8" t="s">
        <v>848</v>
      </c>
      <c r="G31" s="14">
        <f>100*20</f>
        <v>2000</v>
      </c>
      <c r="H31" s="13"/>
      <c r="I31" s="12" t="s">
        <v>23</v>
      </c>
      <c r="J31" s="12" t="s">
        <v>26</v>
      </c>
    </row>
    <row r="32" spans="1:10" ht="21" customHeight="1" x14ac:dyDescent="0.25">
      <c r="A32" s="20" t="s">
        <v>916</v>
      </c>
      <c r="B32" s="11">
        <v>43844</v>
      </c>
      <c r="C32" s="39" t="s">
        <v>917</v>
      </c>
      <c r="D32" s="39" t="s">
        <v>846</v>
      </c>
      <c r="E32" s="57" t="s">
        <v>915</v>
      </c>
      <c r="F32" s="8" t="s">
        <v>848</v>
      </c>
      <c r="G32" s="14">
        <f>100*20</f>
        <v>2000</v>
      </c>
      <c r="H32" s="13"/>
      <c r="I32" s="12" t="s">
        <v>23</v>
      </c>
      <c r="J32" s="12" t="s">
        <v>26</v>
      </c>
    </row>
    <row r="33" spans="1:10" ht="21" customHeight="1" x14ac:dyDescent="0.25">
      <c r="A33" s="20" t="s">
        <v>918</v>
      </c>
      <c r="B33" s="11">
        <v>43844</v>
      </c>
      <c r="C33" s="39" t="s">
        <v>919</v>
      </c>
      <c r="D33" s="39" t="s">
        <v>846</v>
      </c>
      <c r="E33" s="57" t="s">
        <v>920</v>
      </c>
      <c r="F33" s="8" t="s">
        <v>848</v>
      </c>
      <c r="G33" s="14">
        <f>40*20</f>
        <v>800</v>
      </c>
      <c r="H33" s="13"/>
      <c r="I33" s="12" t="s">
        <v>23</v>
      </c>
      <c r="J33" s="12" t="s">
        <v>26</v>
      </c>
    </row>
    <row r="34" spans="1:10" ht="21" customHeight="1" x14ac:dyDescent="0.25">
      <c r="A34" s="20" t="s">
        <v>921</v>
      </c>
      <c r="B34" s="11">
        <v>43847</v>
      </c>
      <c r="C34" s="39" t="s">
        <v>922</v>
      </c>
      <c r="D34" s="39" t="s">
        <v>943</v>
      </c>
      <c r="E34" s="57" t="s">
        <v>923</v>
      </c>
      <c r="F34" s="8" t="s">
        <v>858</v>
      </c>
      <c r="G34" s="14">
        <f>5*35</f>
        <v>175</v>
      </c>
      <c r="H34" s="13"/>
      <c r="I34" s="12" t="s">
        <v>23</v>
      </c>
      <c r="J34" s="12" t="s">
        <v>21</v>
      </c>
    </row>
    <row r="35" spans="1:10" ht="21" customHeight="1" x14ac:dyDescent="0.25">
      <c r="A35" s="20" t="s">
        <v>944</v>
      </c>
      <c r="B35" s="11">
        <v>43847</v>
      </c>
      <c r="C35" s="39" t="s">
        <v>924</v>
      </c>
      <c r="D35" s="39" t="s">
        <v>943</v>
      </c>
      <c r="E35" s="57" t="s">
        <v>925</v>
      </c>
      <c r="F35" s="8" t="s">
        <v>858</v>
      </c>
      <c r="G35" s="14">
        <f>2*35</f>
        <v>70</v>
      </c>
      <c r="H35" s="13"/>
      <c r="I35" s="12" t="s">
        <v>23</v>
      </c>
      <c r="J35" s="12" t="s">
        <v>21</v>
      </c>
    </row>
    <row r="36" spans="1:10" ht="21" customHeight="1" x14ac:dyDescent="0.25">
      <c r="A36" s="20" t="s">
        <v>945</v>
      </c>
      <c r="B36" s="11">
        <v>43847</v>
      </c>
      <c r="C36" s="60" t="s">
        <v>926</v>
      </c>
      <c r="D36" s="39" t="s">
        <v>943</v>
      </c>
      <c r="E36" s="57" t="s">
        <v>925</v>
      </c>
      <c r="F36" s="8" t="s">
        <v>858</v>
      </c>
      <c r="G36" s="14">
        <v>70</v>
      </c>
      <c r="H36" s="13"/>
      <c r="I36" s="12" t="s">
        <v>23</v>
      </c>
      <c r="J36" s="12" t="s">
        <v>21</v>
      </c>
    </row>
    <row r="37" spans="1:10" ht="21" customHeight="1" x14ac:dyDescent="0.25">
      <c r="A37" s="20" t="s">
        <v>946</v>
      </c>
      <c r="B37" s="11">
        <v>43847</v>
      </c>
      <c r="C37" s="39" t="s">
        <v>927</v>
      </c>
      <c r="D37" s="39" t="s">
        <v>943</v>
      </c>
      <c r="E37" s="57" t="s">
        <v>923</v>
      </c>
      <c r="F37" s="8" t="s">
        <v>858</v>
      </c>
      <c r="G37" s="14">
        <v>175</v>
      </c>
      <c r="H37" s="13"/>
      <c r="I37" s="12" t="s">
        <v>23</v>
      </c>
      <c r="J37" s="12" t="s">
        <v>21</v>
      </c>
    </row>
    <row r="38" spans="1:10" ht="21" customHeight="1" x14ac:dyDescent="0.25">
      <c r="A38" s="20" t="s">
        <v>947</v>
      </c>
      <c r="B38" s="11">
        <v>43847</v>
      </c>
      <c r="C38" s="39" t="s">
        <v>928</v>
      </c>
      <c r="D38" s="39" t="s">
        <v>943</v>
      </c>
      <c r="E38" s="57" t="s">
        <v>925</v>
      </c>
      <c r="F38" s="8" t="s">
        <v>858</v>
      </c>
      <c r="G38" s="14">
        <v>70</v>
      </c>
      <c r="H38" s="13"/>
      <c r="I38" s="12" t="s">
        <v>23</v>
      </c>
      <c r="J38" s="12" t="s">
        <v>21</v>
      </c>
    </row>
    <row r="39" spans="1:10" ht="21" customHeight="1" x14ac:dyDescent="0.25">
      <c r="A39" s="20" t="s">
        <v>948</v>
      </c>
      <c r="B39" s="11">
        <v>43847</v>
      </c>
      <c r="C39" s="39" t="s">
        <v>929</v>
      </c>
      <c r="D39" s="39" t="s">
        <v>943</v>
      </c>
      <c r="E39" s="57" t="s">
        <v>930</v>
      </c>
      <c r="F39" s="8" t="s">
        <v>858</v>
      </c>
      <c r="G39" s="14">
        <f>10*35</f>
        <v>350</v>
      </c>
      <c r="H39" s="13"/>
      <c r="I39" s="12" t="s">
        <v>23</v>
      </c>
      <c r="J39" s="12" t="s">
        <v>21</v>
      </c>
    </row>
    <row r="40" spans="1:10" ht="21" customHeight="1" x14ac:dyDescent="0.25">
      <c r="A40" s="20" t="s">
        <v>949</v>
      </c>
      <c r="B40" s="11">
        <v>43847</v>
      </c>
      <c r="C40" s="56" t="s">
        <v>931</v>
      </c>
      <c r="D40" s="39" t="s">
        <v>943</v>
      </c>
      <c r="E40" s="57" t="s">
        <v>923</v>
      </c>
      <c r="F40" s="8" t="s">
        <v>858</v>
      </c>
      <c r="G40" s="14">
        <v>175</v>
      </c>
      <c r="H40" s="13"/>
      <c r="I40" s="12" t="s">
        <v>23</v>
      </c>
      <c r="J40" s="12" t="s">
        <v>21</v>
      </c>
    </row>
    <row r="41" spans="1:10" ht="21" customHeight="1" x14ac:dyDescent="0.25">
      <c r="A41" s="20" t="s">
        <v>950</v>
      </c>
      <c r="B41" s="11">
        <v>43847</v>
      </c>
      <c r="C41" s="56" t="s">
        <v>932</v>
      </c>
      <c r="D41" s="39" t="s">
        <v>943</v>
      </c>
      <c r="E41" s="57" t="s">
        <v>933</v>
      </c>
      <c r="F41" s="8" t="s">
        <v>858</v>
      </c>
      <c r="G41" s="14">
        <f>4*35</f>
        <v>140</v>
      </c>
      <c r="H41" s="13"/>
      <c r="I41" s="12" t="s">
        <v>23</v>
      </c>
      <c r="J41" s="12" t="s">
        <v>21</v>
      </c>
    </row>
    <row r="42" spans="1:10" ht="21" customHeight="1" x14ac:dyDescent="0.25">
      <c r="A42" s="20" t="s">
        <v>951</v>
      </c>
      <c r="B42" s="11">
        <v>43847</v>
      </c>
      <c r="C42" s="56" t="s">
        <v>934</v>
      </c>
      <c r="D42" s="39" t="s">
        <v>943</v>
      </c>
      <c r="E42" s="57" t="s">
        <v>935</v>
      </c>
      <c r="F42" s="8" t="s">
        <v>858</v>
      </c>
      <c r="G42" s="14">
        <f>6*35</f>
        <v>210</v>
      </c>
      <c r="H42" s="13"/>
      <c r="I42" s="12" t="s">
        <v>23</v>
      </c>
      <c r="J42" s="12" t="s">
        <v>21</v>
      </c>
    </row>
    <row r="43" spans="1:10" ht="39.75" customHeight="1" x14ac:dyDescent="0.25">
      <c r="A43" s="20" t="s">
        <v>952</v>
      </c>
      <c r="B43" s="11">
        <v>43847</v>
      </c>
      <c r="C43" s="39" t="s">
        <v>1053</v>
      </c>
      <c r="D43" s="39" t="s">
        <v>943</v>
      </c>
      <c r="E43" s="57" t="s">
        <v>935</v>
      </c>
      <c r="F43" s="8" t="s">
        <v>858</v>
      </c>
      <c r="G43" s="14">
        <v>210</v>
      </c>
      <c r="H43" s="13"/>
      <c r="I43" s="12" t="s">
        <v>23</v>
      </c>
      <c r="J43" s="12" t="s">
        <v>21</v>
      </c>
    </row>
    <row r="44" spans="1:10" ht="19.5" customHeight="1" x14ac:dyDescent="0.25">
      <c r="A44" s="20" t="s">
        <v>953</v>
      </c>
      <c r="B44" s="11">
        <v>43847</v>
      </c>
      <c r="C44" s="56" t="s">
        <v>936</v>
      </c>
      <c r="D44" s="39" t="s">
        <v>943</v>
      </c>
      <c r="E44" s="57" t="s">
        <v>937</v>
      </c>
      <c r="F44" s="8" t="s">
        <v>858</v>
      </c>
      <c r="G44" s="14">
        <f>3*35</f>
        <v>105</v>
      </c>
      <c r="H44" s="13"/>
      <c r="I44" s="12" t="s">
        <v>23</v>
      </c>
      <c r="J44" s="12" t="s">
        <v>21</v>
      </c>
    </row>
    <row r="45" spans="1:10" ht="19.5" customHeight="1" x14ac:dyDescent="0.25">
      <c r="A45" s="20" t="s">
        <v>954</v>
      </c>
      <c r="B45" s="11">
        <v>43847</v>
      </c>
      <c r="C45" s="56" t="s">
        <v>938</v>
      </c>
      <c r="D45" s="39" t="s">
        <v>943</v>
      </c>
      <c r="E45" s="57" t="s">
        <v>923</v>
      </c>
      <c r="F45" s="8" t="s">
        <v>858</v>
      </c>
      <c r="G45" s="14">
        <v>175</v>
      </c>
      <c r="H45" s="13"/>
      <c r="I45" s="12" t="s">
        <v>23</v>
      </c>
      <c r="J45" s="12" t="s">
        <v>21</v>
      </c>
    </row>
    <row r="46" spans="1:10" ht="19.5" customHeight="1" x14ac:dyDescent="0.25">
      <c r="A46" s="20" t="s">
        <v>955</v>
      </c>
      <c r="B46" s="11">
        <v>43847</v>
      </c>
      <c r="C46" s="56" t="s">
        <v>939</v>
      </c>
      <c r="D46" s="39" t="s">
        <v>943</v>
      </c>
      <c r="E46" s="57" t="s">
        <v>923</v>
      </c>
      <c r="F46" s="8" t="s">
        <v>858</v>
      </c>
      <c r="G46" s="14">
        <v>175</v>
      </c>
      <c r="H46" s="13"/>
      <c r="I46" s="12" t="s">
        <v>23</v>
      </c>
      <c r="J46" s="12" t="s">
        <v>21</v>
      </c>
    </row>
    <row r="47" spans="1:10" ht="19.5" customHeight="1" x14ac:dyDescent="0.25">
      <c r="A47" s="20" t="s">
        <v>956</v>
      </c>
      <c r="B47" s="11">
        <v>43847</v>
      </c>
      <c r="C47" s="56" t="s">
        <v>940</v>
      </c>
      <c r="D47" s="39" t="s">
        <v>943</v>
      </c>
      <c r="E47" s="57" t="s">
        <v>923</v>
      </c>
      <c r="F47" s="8" t="s">
        <v>858</v>
      </c>
      <c r="G47" s="14">
        <v>175</v>
      </c>
      <c r="H47" s="13"/>
      <c r="I47" s="12" t="s">
        <v>23</v>
      </c>
      <c r="J47" s="12" t="s">
        <v>21</v>
      </c>
    </row>
    <row r="48" spans="1:10" ht="38.25" customHeight="1" x14ac:dyDescent="0.25">
      <c r="A48" s="20" t="s">
        <v>942</v>
      </c>
      <c r="B48" s="11">
        <v>43847</v>
      </c>
      <c r="C48" s="56" t="s">
        <v>941</v>
      </c>
      <c r="D48" s="39" t="s">
        <v>943</v>
      </c>
      <c r="E48" s="57" t="s">
        <v>923</v>
      </c>
      <c r="F48" s="8" t="s">
        <v>858</v>
      </c>
      <c r="G48" s="14">
        <v>175</v>
      </c>
      <c r="H48" s="13"/>
      <c r="I48" s="12" t="s">
        <v>23</v>
      </c>
      <c r="J48" s="12" t="s">
        <v>21</v>
      </c>
    </row>
    <row r="49" spans="1:10" ht="21.75" customHeight="1" x14ac:dyDescent="0.25">
      <c r="A49" s="20" t="s">
        <v>957</v>
      </c>
      <c r="B49" s="11">
        <v>43847</v>
      </c>
      <c r="C49" s="56" t="s">
        <v>958</v>
      </c>
      <c r="D49" s="39" t="s">
        <v>959</v>
      </c>
      <c r="E49" s="57" t="s">
        <v>960</v>
      </c>
      <c r="F49" s="8" t="s">
        <v>848</v>
      </c>
      <c r="G49" s="14">
        <v>175</v>
      </c>
      <c r="H49" s="13"/>
      <c r="I49" s="12" t="s">
        <v>23</v>
      </c>
      <c r="J49" s="12" t="s">
        <v>21</v>
      </c>
    </row>
    <row r="50" spans="1:10" ht="42.75" customHeight="1" x14ac:dyDescent="0.25">
      <c r="A50" s="20" t="s">
        <v>961</v>
      </c>
      <c r="B50" s="11">
        <v>43847</v>
      </c>
      <c r="C50" s="56" t="s">
        <v>962</v>
      </c>
      <c r="D50" s="39" t="s">
        <v>963</v>
      </c>
      <c r="E50" s="57"/>
      <c r="F50" s="8" t="s">
        <v>964</v>
      </c>
      <c r="G50" s="14">
        <f>6*10*20+6*70+4*200+6*250</f>
        <v>3920</v>
      </c>
      <c r="H50" s="13"/>
      <c r="I50" s="34" t="s">
        <v>901</v>
      </c>
      <c r="J50" s="12" t="s">
        <v>26</v>
      </c>
    </row>
    <row r="51" spans="1:10" ht="19.5" customHeight="1" x14ac:dyDescent="0.25">
      <c r="A51" s="20" t="s">
        <v>965</v>
      </c>
      <c r="B51" s="11"/>
      <c r="C51" s="58" t="s">
        <v>850</v>
      </c>
      <c r="D51" s="39"/>
      <c r="E51" s="57"/>
      <c r="F51" s="8"/>
      <c r="G51" s="14"/>
      <c r="H51" s="13"/>
      <c r="I51" s="12"/>
      <c r="J51" s="12"/>
    </row>
    <row r="52" spans="1:10" ht="19.5" customHeight="1" x14ac:dyDescent="0.25">
      <c r="A52" s="20" t="s">
        <v>966</v>
      </c>
      <c r="B52" s="11"/>
      <c r="C52" s="58" t="s">
        <v>850</v>
      </c>
      <c r="D52" s="39"/>
      <c r="E52" s="57"/>
      <c r="F52" s="8"/>
      <c r="G52" s="14"/>
      <c r="H52" s="13"/>
      <c r="I52" s="12"/>
      <c r="J52" s="12"/>
    </row>
    <row r="53" spans="1:10" ht="39.75" customHeight="1" x14ac:dyDescent="0.25">
      <c r="A53" s="20" t="s">
        <v>969</v>
      </c>
      <c r="B53" s="11">
        <v>43849</v>
      </c>
      <c r="C53" s="56" t="s">
        <v>970</v>
      </c>
      <c r="D53" s="39" t="s">
        <v>967</v>
      </c>
      <c r="E53" s="57"/>
      <c r="F53" s="8" t="s">
        <v>968</v>
      </c>
      <c r="G53" s="14">
        <f>20*30*20</f>
        <v>12000</v>
      </c>
      <c r="H53" s="13"/>
      <c r="I53" s="34" t="s">
        <v>901</v>
      </c>
      <c r="J53" s="12" t="s">
        <v>26</v>
      </c>
    </row>
    <row r="54" spans="1:10" ht="19.5" customHeight="1" x14ac:dyDescent="0.25">
      <c r="A54" s="20" t="s">
        <v>971</v>
      </c>
      <c r="B54" s="11">
        <v>43850</v>
      </c>
      <c r="C54" s="56" t="s">
        <v>972</v>
      </c>
      <c r="D54" s="39" t="s">
        <v>973</v>
      </c>
      <c r="E54" s="57" t="s">
        <v>974</v>
      </c>
      <c r="F54" s="8" t="s">
        <v>848</v>
      </c>
      <c r="G54" s="14">
        <v>500</v>
      </c>
      <c r="H54" s="13"/>
      <c r="I54" s="12" t="s">
        <v>13</v>
      </c>
      <c r="J54" s="12" t="s">
        <v>853</v>
      </c>
    </row>
    <row r="55" spans="1:10" ht="19.5" customHeight="1" x14ac:dyDescent="0.25">
      <c r="A55" s="20" t="s">
        <v>975</v>
      </c>
      <c r="B55" s="11">
        <v>43850</v>
      </c>
      <c r="C55" s="56" t="s">
        <v>899</v>
      </c>
      <c r="D55" s="39" t="s">
        <v>846</v>
      </c>
      <c r="E55" s="57" t="s">
        <v>976</v>
      </c>
      <c r="F55" s="8" t="s">
        <v>858</v>
      </c>
      <c r="G55" s="14">
        <f>1000*12</f>
        <v>12000</v>
      </c>
      <c r="H55" s="13"/>
      <c r="I55" s="12" t="s">
        <v>13</v>
      </c>
      <c r="J55" s="12" t="s">
        <v>26</v>
      </c>
    </row>
    <row r="56" spans="1:10" ht="19.5" customHeight="1" x14ac:dyDescent="0.25">
      <c r="A56" s="20" t="s">
        <v>977</v>
      </c>
      <c r="B56" s="11">
        <v>43851</v>
      </c>
      <c r="C56" s="56" t="s">
        <v>978</v>
      </c>
      <c r="D56" s="39" t="s">
        <v>979</v>
      </c>
      <c r="E56" s="57" t="s">
        <v>980</v>
      </c>
      <c r="F56" s="8" t="s">
        <v>848</v>
      </c>
      <c r="G56" s="14"/>
      <c r="H56" s="13"/>
      <c r="I56" s="12" t="s">
        <v>13</v>
      </c>
      <c r="J56" s="12" t="s">
        <v>26</v>
      </c>
    </row>
    <row r="57" spans="1:10" ht="68.25" customHeight="1" x14ac:dyDescent="0.25">
      <c r="A57" s="20" t="s">
        <v>981</v>
      </c>
      <c r="B57" s="11">
        <v>43851</v>
      </c>
      <c r="C57" s="39" t="s">
        <v>982</v>
      </c>
      <c r="D57" s="39" t="s">
        <v>52</v>
      </c>
      <c r="E57" s="8" t="s">
        <v>983</v>
      </c>
      <c r="F57" s="8" t="s">
        <v>12</v>
      </c>
      <c r="G57" s="14">
        <v>1600</v>
      </c>
      <c r="H57" s="13"/>
      <c r="I57" s="12" t="s">
        <v>23</v>
      </c>
      <c r="J57" s="46" t="s">
        <v>21</v>
      </c>
    </row>
    <row r="58" spans="1:10" ht="19.5" customHeight="1" x14ac:dyDescent="0.25">
      <c r="A58" s="20" t="s">
        <v>984</v>
      </c>
      <c r="B58" s="11">
        <v>43851</v>
      </c>
      <c r="C58" s="56" t="s">
        <v>962</v>
      </c>
      <c r="D58" s="39" t="s">
        <v>846</v>
      </c>
      <c r="E58" s="57" t="s">
        <v>900</v>
      </c>
      <c r="F58" s="8" t="s">
        <v>640</v>
      </c>
      <c r="G58" s="14">
        <f>600*20</f>
        <v>12000</v>
      </c>
      <c r="H58" s="13"/>
      <c r="I58" s="12" t="s">
        <v>13</v>
      </c>
      <c r="J58" s="12" t="s">
        <v>26</v>
      </c>
    </row>
    <row r="59" spans="1:10" ht="19.5" customHeight="1" x14ac:dyDescent="0.25">
      <c r="A59" s="20" t="s">
        <v>985</v>
      </c>
      <c r="B59" s="11">
        <v>43852</v>
      </c>
      <c r="C59" s="56" t="s">
        <v>986</v>
      </c>
      <c r="D59" s="39" t="s">
        <v>987</v>
      </c>
      <c r="E59" s="57" t="s">
        <v>988</v>
      </c>
      <c r="F59" s="8" t="s">
        <v>968</v>
      </c>
      <c r="G59" s="14">
        <v>500</v>
      </c>
      <c r="H59" s="13"/>
      <c r="I59" s="12" t="s">
        <v>23</v>
      </c>
      <c r="J59" s="46" t="s">
        <v>21</v>
      </c>
    </row>
    <row r="60" spans="1:10" ht="19.5" customHeight="1" x14ac:dyDescent="0.25">
      <c r="A60" s="10"/>
      <c r="B60" s="11"/>
      <c r="C60" s="39"/>
      <c r="D60" s="22"/>
      <c r="E60" s="8"/>
      <c r="F60" s="63" t="s">
        <v>29</v>
      </c>
      <c r="G60" s="33">
        <f>SUM(G4:G42)</f>
        <v>47330</v>
      </c>
      <c r="H60" s="13"/>
      <c r="I60" s="12"/>
      <c r="J60" s="12"/>
    </row>
    <row r="61" spans="1:10" ht="19.5" x14ac:dyDescent="0.25">
      <c r="A61" s="17" t="s">
        <v>1054</v>
      </c>
      <c r="B61" s="17"/>
      <c r="C61" s="47"/>
      <c r="D61" s="17"/>
      <c r="E61" s="47"/>
      <c r="F61" s="47"/>
      <c r="G61" s="17"/>
      <c r="H61" s="17"/>
      <c r="I61" s="17"/>
      <c r="J61" s="17"/>
    </row>
    <row r="629" spans="4:4" x14ac:dyDescent="0.25">
      <c r="D629" s="1" t="s">
        <v>28</v>
      </c>
    </row>
  </sheetData>
  <mergeCells count="2">
    <mergeCell ref="A1:J1"/>
    <mergeCell ref="A2:J2"/>
  </mergeCells>
  <phoneticPr fontId="4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9"/>
  <sheetViews>
    <sheetView workbookViewId="0">
      <selection activeCell="C21" sqref="C21"/>
    </sheetView>
  </sheetViews>
  <sheetFormatPr defaultRowHeight="16.5" x14ac:dyDescent="0.25"/>
  <cols>
    <col min="1" max="1" width="9.375" style="2" customWidth="1"/>
    <col min="2" max="2" width="8.375" style="4" customWidth="1"/>
    <col min="3" max="3" width="25.875" style="1" customWidth="1"/>
    <col min="4" max="4" width="27.875" style="1" customWidth="1"/>
    <col min="5" max="5" width="10.625" style="1" customWidth="1"/>
    <col min="6" max="6" width="8.625" style="3" customWidth="1"/>
    <col min="7" max="7" width="12.875" style="5" customWidth="1"/>
    <col min="8" max="8" width="9.5" style="3" customWidth="1"/>
    <col min="9" max="9" width="15.125" style="1" customWidth="1"/>
    <col min="10" max="10" width="11.5" style="1" customWidth="1"/>
    <col min="11" max="16384" width="9" style="1"/>
  </cols>
  <sheetData>
    <row r="1" spans="1:10" ht="30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7.75" x14ac:dyDescent="0.25">
      <c r="A2" s="70" t="s">
        <v>541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" customFormat="1" ht="24" customHeigh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0" ht="39" x14ac:dyDescent="0.25">
      <c r="A4" s="20" t="s">
        <v>542</v>
      </c>
      <c r="B4" s="11">
        <v>43742</v>
      </c>
      <c r="C4" s="35" t="s">
        <v>544</v>
      </c>
      <c r="D4" s="15" t="s">
        <v>838</v>
      </c>
      <c r="E4" s="13"/>
      <c r="F4" s="8" t="s">
        <v>496</v>
      </c>
      <c r="G4" s="14">
        <f>200*100+496</f>
        <v>20496</v>
      </c>
      <c r="H4" s="13"/>
      <c r="I4" s="39" t="s">
        <v>545</v>
      </c>
      <c r="J4" s="46" t="s">
        <v>546</v>
      </c>
    </row>
    <row r="5" spans="1:10" ht="30" customHeight="1" x14ac:dyDescent="0.25">
      <c r="A5" s="20" t="s">
        <v>543</v>
      </c>
      <c r="B5" s="11">
        <v>43742</v>
      </c>
      <c r="C5" s="35" t="s">
        <v>481</v>
      </c>
      <c r="D5" s="15" t="s">
        <v>482</v>
      </c>
      <c r="E5" s="13" t="s">
        <v>547</v>
      </c>
      <c r="F5" s="8" t="s">
        <v>475</v>
      </c>
      <c r="G5" s="14">
        <f>46*15</f>
        <v>690</v>
      </c>
      <c r="H5" s="13"/>
      <c r="I5" s="39" t="s">
        <v>13</v>
      </c>
      <c r="J5" s="46" t="s">
        <v>14</v>
      </c>
    </row>
    <row r="6" spans="1:10" ht="24.75" customHeight="1" x14ac:dyDescent="0.25">
      <c r="A6" s="20" t="s">
        <v>548</v>
      </c>
      <c r="B6" s="11">
        <v>43692</v>
      </c>
      <c r="C6" s="15" t="s">
        <v>550</v>
      </c>
      <c r="D6" s="15" t="s">
        <v>551</v>
      </c>
      <c r="E6" s="19" t="s">
        <v>552</v>
      </c>
      <c r="F6" s="8" t="s">
        <v>475</v>
      </c>
      <c r="G6" s="14">
        <f>24*200</f>
        <v>4800</v>
      </c>
      <c r="H6" s="13"/>
      <c r="I6" s="39" t="s">
        <v>545</v>
      </c>
      <c r="J6" s="46" t="s">
        <v>546</v>
      </c>
    </row>
    <row r="7" spans="1:10" ht="110.25" customHeight="1" x14ac:dyDescent="0.25">
      <c r="A7" s="20" t="s">
        <v>549</v>
      </c>
      <c r="B7" s="11">
        <v>43689</v>
      </c>
      <c r="C7" s="15" t="s">
        <v>553</v>
      </c>
      <c r="D7" s="15" t="s">
        <v>554</v>
      </c>
      <c r="E7" s="13"/>
      <c r="F7" s="8" t="s">
        <v>475</v>
      </c>
      <c r="G7" s="14">
        <f>27*20+5.2*50+60+0.5*50+40+50+10+200</f>
        <v>1185</v>
      </c>
      <c r="H7" s="13"/>
      <c r="I7" s="39" t="s">
        <v>13</v>
      </c>
      <c r="J7" s="46" t="s">
        <v>14</v>
      </c>
    </row>
    <row r="8" spans="1:10" ht="23.25" customHeight="1" x14ac:dyDescent="0.25">
      <c r="A8" s="20" t="s">
        <v>555</v>
      </c>
      <c r="B8" s="11">
        <v>43747</v>
      </c>
      <c r="C8" s="35" t="s">
        <v>481</v>
      </c>
      <c r="D8" s="15" t="s">
        <v>482</v>
      </c>
      <c r="E8" s="13" t="s">
        <v>556</v>
      </c>
      <c r="F8" s="8" t="s">
        <v>475</v>
      </c>
      <c r="G8" s="14">
        <f>73*15</f>
        <v>1095</v>
      </c>
      <c r="H8" s="13"/>
      <c r="I8" s="39" t="s">
        <v>13</v>
      </c>
      <c r="J8" s="46" t="s">
        <v>14</v>
      </c>
    </row>
    <row r="9" spans="1:10" ht="39" x14ac:dyDescent="0.25">
      <c r="A9" s="20" t="s">
        <v>557</v>
      </c>
      <c r="B9" s="11">
        <v>43747</v>
      </c>
      <c r="C9" s="15" t="s">
        <v>567</v>
      </c>
      <c r="D9" s="15" t="s">
        <v>568</v>
      </c>
      <c r="E9" s="13"/>
      <c r="F9" s="8" t="s">
        <v>475</v>
      </c>
      <c r="G9" s="14">
        <f>60*20+4.2*200+3.6*100</f>
        <v>2400</v>
      </c>
      <c r="H9" s="13"/>
      <c r="I9" s="39" t="s">
        <v>569</v>
      </c>
      <c r="J9" s="46" t="s">
        <v>14</v>
      </c>
    </row>
    <row r="10" spans="1:10" ht="22.5" customHeight="1" x14ac:dyDescent="0.25">
      <c r="A10" s="20" t="s">
        <v>558</v>
      </c>
      <c r="B10" s="11">
        <v>43752</v>
      </c>
      <c r="C10" s="15" t="s">
        <v>570</v>
      </c>
      <c r="D10" s="15" t="s">
        <v>571</v>
      </c>
      <c r="E10" s="13" t="s">
        <v>572</v>
      </c>
      <c r="F10" s="8" t="s">
        <v>496</v>
      </c>
      <c r="G10" s="14">
        <f>6*385</f>
        <v>2310</v>
      </c>
      <c r="H10" s="13"/>
      <c r="I10" s="39" t="s">
        <v>573</v>
      </c>
      <c r="J10" s="46" t="s">
        <v>546</v>
      </c>
    </row>
    <row r="11" spans="1:10" ht="22.5" customHeight="1" x14ac:dyDescent="0.25">
      <c r="A11" s="20" t="s">
        <v>559</v>
      </c>
      <c r="B11" s="11">
        <v>43752</v>
      </c>
      <c r="C11" s="15" t="s">
        <v>510</v>
      </c>
      <c r="D11" s="15" t="s">
        <v>574</v>
      </c>
      <c r="E11" s="13" t="s">
        <v>575</v>
      </c>
      <c r="F11" s="8" t="s">
        <v>490</v>
      </c>
      <c r="G11" s="14">
        <f>27*5</f>
        <v>135</v>
      </c>
      <c r="H11" s="13"/>
      <c r="I11" s="46" t="s">
        <v>576</v>
      </c>
      <c r="J11" s="46" t="s">
        <v>21</v>
      </c>
    </row>
    <row r="12" spans="1:10" ht="39" x14ac:dyDescent="0.25">
      <c r="A12" s="20" t="s">
        <v>560</v>
      </c>
      <c r="B12" s="11">
        <v>43752</v>
      </c>
      <c r="C12" s="15" t="s">
        <v>577</v>
      </c>
      <c r="D12" s="15" t="s">
        <v>578</v>
      </c>
      <c r="E12" s="13"/>
      <c r="F12" s="8" t="s">
        <v>579</v>
      </c>
      <c r="G12" s="14">
        <v>300</v>
      </c>
      <c r="H12" s="13"/>
      <c r="I12" s="46" t="s">
        <v>576</v>
      </c>
      <c r="J12" s="46" t="s">
        <v>21</v>
      </c>
    </row>
    <row r="13" spans="1:10" ht="22.5" customHeight="1" x14ac:dyDescent="0.25">
      <c r="A13" s="20" t="s">
        <v>561</v>
      </c>
      <c r="B13" s="11">
        <v>43753</v>
      </c>
      <c r="C13" s="15" t="s">
        <v>580</v>
      </c>
      <c r="D13" s="15" t="s">
        <v>477</v>
      </c>
      <c r="E13" s="13" t="s">
        <v>581</v>
      </c>
      <c r="F13" s="8" t="s">
        <v>582</v>
      </c>
      <c r="G13" s="14">
        <f>125*20</f>
        <v>2500</v>
      </c>
      <c r="H13" s="13"/>
      <c r="I13" s="39" t="s">
        <v>573</v>
      </c>
      <c r="J13" s="46" t="s">
        <v>546</v>
      </c>
    </row>
    <row r="14" spans="1:10" ht="22.5" customHeight="1" x14ac:dyDescent="0.25">
      <c r="A14" s="20" t="s">
        <v>562</v>
      </c>
      <c r="B14" s="11">
        <v>43753</v>
      </c>
      <c r="C14" s="15" t="s">
        <v>583</v>
      </c>
      <c r="D14" s="15" t="s">
        <v>477</v>
      </c>
      <c r="E14" s="13" t="s">
        <v>581</v>
      </c>
      <c r="F14" s="8" t="s">
        <v>582</v>
      </c>
      <c r="G14" s="14">
        <f>125*20</f>
        <v>2500</v>
      </c>
      <c r="H14" s="13"/>
      <c r="I14" s="39" t="s">
        <v>573</v>
      </c>
      <c r="J14" s="46" t="s">
        <v>546</v>
      </c>
    </row>
    <row r="15" spans="1:10" ht="30.75" customHeight="1" x14ac:dyDescent="0.25">
      <c r="A15" s="20" t="s">
        <v>563</v>
      </c>
      <c r="B15" s="11">
        <v>43756</v>
      </c>
      <c r="C15" s="35" t="s">
        <v>481</v>
      </c>
      <c r="D15" s="15" t="s">
        <v>482</v>
      </c>
      <c r="E15" s="13" t="s">
        <v>584</v>
      </c>
      <c r="F15" s="8" t="s">
        <v>475</v>
      </c>
      <c r="G15" s="14">
        <f>40*15</f>
        <v>600</v>
      </c>
      <c r="H15" s="13"/>
      <c r="I15" s="46" t="s">
        <v>576</v>
      </c>
      <c r="J15" s="46" t="s">
        <v>21</v>
      </c>
    </row>
    <row r="16" spans="1:10" ht="58.5" x14ac:dyDescent="0.25">
      <c r="A16" s="20" t="s">
        <v>564</v>
      </c>
      <c r="B16" s="11">
        <v>43756</v>
      </c>
      <c r="C16" s="15" t="s">
        <v>585</v>
      </c>
      <c r="D16" s="15" t="s">
        <v>586</v>
      </c>
      <c r="E16" s="13"/>
      <c r="F16" s="8" t="s">
        <v>475</v>
      </c>
      <c r="G16" s="14">
        <f>108*20+18*50+9.6*60</f>
        <v>3636</v>
      </c>
      <c r="H16" s="13"/>
      <c r="I16" s="39" t="s">
        <v>573</v>
      </c>
      <c r="J16" s="46" t="s">
        <v>546</v>
      </c>
    </row>
    <row r="17" spans="1:10" ht="23.25" customHeight="1" x14ac:dyDescent="0.25">
      <c r="A17" s="20" t="s">
        <v>565</v>
      </c>
      <c r="B17" s="11">
        <v>43763</v>
      </c>
      <c r="C17" s="15" t="s">
        <v>587</v>
      </c>
      <c r="D17" s="15" t="s">
        <v>588</v>
      </c>
      <c r="E17" s="13" t="s">
        <v>589</v>
      </c>
      <c r="F17" s="8" t="s">
        <v>490</v>
      </c>
      <c r="G17" s="14">
        <v>0</v>
      </c>
      <c r="H17" s="13"/>
      <c r="I17" s="39" t="s">
        <v>590</v>
      </c>
      <c r="J17" s="46" t="s">
        <v>546</v>
      </c>
    </row>
    <row r="18" spans="1:10" ht="23.25" customHeight="1" x14ac:dyDescent="0.25">
      <c r="A18" s="20" t="s">
        <v>566</v>
      </c>
      <c r="B18" s="11">
        <v>43763</v>
      </c>
      <c r="C18" s="15" t="s">
        <v>510</v>
      </c>
      <c r="D18" s="15" t="s">
        <v>591</v>
      </c>
      <c r="E18" s="13"/>
      <c r="F18" s="8" t="s">
        <v>582</v>
      </c>
      <c r="G18" s="14">
        <f>23*10+19*5</f>
        <v>325</v>
      </c>
      <c r="H18" s="13"/>
      <c r="I18" s="46" t="s">
        <v>576</v>
      </c>
      <c r="J18" s="46" t="s">
        <v>21</v>
      </c>
    </row>
    <row r="19" spans="1:10" ht="19.5" x14ac:dyDescent="0.25">
      <c r="A19" s="20" t="s">
        <v>592</v>
      </c>
      <c r="B19" s="11">
        <v>43763</v>
      </c>
      <c r="C19" s="35" t="s">
        <v>481</v>
      </c>
      <c r="D19" s="15" t="s">
        <v>482</v>
      </c>
      <c r="E19" s="13" t="s">
        <v>604</v>
      </c>
      <c r="F19" s="8" t="s">
        <v>475</v>
      </c>
      <c r="G19" s="14">
        <f>41*15</f>
        <v>615</v>
      </c>
      <c r="H19" s="13"/>
      <c r="I19" s="46" t="s">
        <v>576</v>
      </c>
      <c r="J19" s="46" t="s">
        <v>21</v>
      </c>
    </row>
    <row r="20" spans="1:10" ht="22.5" customHeight="1" x14ac:dyDescent="0.25">
      <c r="A20" s="20" t="s">
        <v>593</v>
      </c>
      <c r="B20" s="11">
        <v>43764</v>
      </c>
      <c r="C20" s="15" t="s">
        <v>605</v>
      </c>
      <c r="D20" s="15" t="s">
        <v>606</v>
      </c>
      <c r="E20" s="13" t="s">
        <v>607</v>
      </c>
      <c r="F20" s="8" t="s">
        <v>490</v>
      </c>
      <c r="G20" s="14">
        <f>50*100</f>
        <v>5000</v>
      </c>
      <c r="H20" s="13"/>
      <c r="I20" s="39" t="s">
        <v>545</v>
      </c>
      <c r="J20" s="46" t="s">
        <v>546</v>
      </c>
    </row>
    <row r="21" spans="1:10" ht="150" customHeight="1" x14ac:dyDescent="0.25">
      <c r="A21" s="20" t="s">
        <v>594</v>
      </c>
      <c r="B21" s="11">
        <v>43764</v>
      </c>
      <c r="C21" s="15" t="s">
        <v>608</v>
      </c>
      <c r="D21" s="15" t="s">
        <v>609</v>
      </c>
      <c r="E21" s="13"/>
      <c r="F21" s="8" t="s">
        <v>475</v>
      </c>
      <c r="G21" s="14">
        <v>4500</v>
      </c>
      <c r="H21" s="13"/>
      <c r="I21" s="39" t="s">
        <v>610</v>
      </c>
      <c r="J21" s="46" t="s">
        <v>546</v>
      </c>
    </row>
    <row r="22" spans="1:10" ht="24.75" customHeight="1" x14ac:dyDescent="0.25">
      <c r="A22" s="20" t="s">
        <v>595</v>
      </c>
      <c r="B22" s="11">
        <v>43766</v>
      </c>
      <c r="C22" s="35" t="s">
        <v>611</v>
      </c>
      <c r="D22" s="15" t="s">
        <v>482</v>
      </c>
      <c r="E22" s="13" t="s">
        <v>612</v>
      </c>
      <c r="F22" s="8" t="s">
        <v>530</v>
      </c>
      <c r="G22" s="14">
        <f>20*10</f>
        <v>200</v>
      </c>
      <c r="H22" s="13"/>
      <c r="I22" s="46" t="s">
        <v>576</v>
      </c>
      <c r="J22" s="46" t="s">
        <v>21</v>
      </c>
    </row>
    <row r="23" spans="1:10" ht="39" x14ac:dyDescent="0.25">
      <c r="A23" s="20" t="s">
        <v>598</v>
      </c>
      <c r="B23" s="11">
        <v>43767</v>
      </c>
      <c r="C23" s="35" t="s">
        <v>613</v>
      </c>
      <c r="D23" s="15" t="s">
        <v>614</v>
      </c>
      <c r="E23" s="13"/>
      <c r="F23" s="8" t="s">
        <v>496</v>
      </c>
      <c r="G23" s="14">
        <v>500</v>
      </c>
      <c r="H23" s="13"/>
      <c r="I23" s="46" t="s">
        <v>576</v>
      </c>
      <c r="J23" s="46" t="s">
        <v>21</v>
      </c>
    </row>
    <row r="24" spans="1:10" ht="91.5" customHeight="1" x14ac:dyDescent="0.25">
      <c r="A24" s="20" t="s">
        <v>599</v>
      </c>
      <c r="B24" s="11">
        <v>43768</v>
      </c>
      <c r="C24" s="15" t="s">
        <v>369</v>
      </c>
      <c r="D24" s="15" t="s">
        <v>52</v>
      </c>
      <c r="E24" s="13" t="s">
        <v>615</v>
      </c>
      <c r="F24" s="8" t="s">
        <v>490</v>
      </c>
      <c r="G24" s="14">
        <f>32*100</f>
        <v>3200</v>
      </c>
      <c r="H24" s="13"/>
      <c r="I24" s="46" t="s">
        <v>576</v>
      </c>
      <c r="J24" s="46" t="s">
        <v>21</v>
      </c>
    </row>
    <row r="25" spans="1:10" ht="23.25" customHeight="1" x14ac:dyDescent="0.25">
      <c r="A25" s="20" t="s">
        <v>600</v>
      </c>
      <c r="B25" s="11">
        <v>43768</v>
      </c>
      <c r="C25" s="35" t="s">
        <v>521</v>
      </c>
      <c r="D25" s="15" t="s">
        <v>616</v>
      </c>
      <c r="E25" s="13"/>
      <c r="F25" s="8" t="s">
        <v>490</v>
      </c>
      <c r="G25" s="14">
        <f>5*100</f>
        <v>500</v>
      </c>
      <c r="H25" s="13"/>
      <c r="I25" s="39" t="s">
        <v>456</v>
      </c>
      <c r="J25" s="46" t="s">
        <v>523</v>
      </c>
    </row>
    <row r="26" spans="1:10" ht="23.25" customHeight="1" x14ac:dyDescent="0.25">
      <c r="A26" s="20" t="s">
        <v>601</v>
      </c>
      <c r="B26" s="11">
        <v>43769</v>
      </c>
      <c r="C26" s="35" t="s">
        <v>510</v>
      </c>
      <c r="D26" s="15" t="s">
        <v>617</v>
      </c>
      <c r="E26" s="13"/>
      <c r="F26" s="8" t="s">
        <v>490</v>
      </c>
      <c r="G26" s="14">
        <f>27*5+30*10</f>
        <v>435</v>
      </c>
      <c r="H26" s="13"/>
      <c r="I26" s="46" t="s">
        <v>576</v>
      </c>
      <c r="J26" s="46" t="s">
        <v>21</v>
      </c>
    </row>
    <row r="27" spans="1:10" ht="23.25" customHeight="1" x14ac:dyDescent="0.25">
      <c r="A27" s="20" t="s">
        <v>602</v>
      </c>
      <c r="B27" s="11">
        <v>43769</v>
      </c>
      <c r="C27" s="35" t="s">
        <v>618</v>
      </c>
      <c r="D27" s="15" t="s">
        <v>619</v>
      </c>
      <c r="E27" s="13"/>
      <c r="F27" s="8" t="s">
        <v>475</v>
      </c>
      <c r="G27" s="14">
        <f>15*50</f>
        <v>750</v>
      </c>
      <c r="H27" s="13"/>
      <c r="I27" s="46" t="s">
        <v>576</v>
      </c>
      <c r="J27" s="46" t="s">
        <v>21</v>
      </c>
    </row>
    <row r="28" spans="1:10" ht="39" x14ac:dyDescent="0.25">
      <c r="A28" s="20" t="s">
        <v>603</v>
      </c>
      <c r="B28" s="11">
        <v>43769</v>
      </c>
      <c r="C28" s="35" t="s">
        <v>620</v>
      </c>
      <c r="D28" s="15" t="s">
        <v>619</v>
      </c>
      <c r="E28" s="13"/>
      <c r="F28" s="8" t="s">
        <v>475</v>
      </c>
      <c r="G28" s="14">
        <v>750</v>
      </c>
      <c r="H28" s="13"/>
      <c r="I28" s="46" t="s">
        <v>576</v>
      </c>
      <c r="J28" s="46" t="s">
        <v>21</v>
      </c>
    </row>
    <row r="29" spans="1:10" ht="21" customHeight="1" x14ac:dyDescent="0.25">
      <c r="A29" s="10"/>
      <c r="B29" s="11"/>
      <c r="C29" s="15"/>
      <c r="D29" s="32" t="s">
        <v>29</v>
      </c>
      <c r="E29" s="32"/>
      <c r="F29" s="48"/>
      <c r="G29" s="33">
        <f>SUM(G4:G28)</f>
        <v>59422</v>
      </c>
      <c r="H29" s="13"/>
      <c r="I29" s="46"/>
      <c r="J29" s="46"/>
    </row>
    <row r="30" spans="1:10" ht="21" customHeight="1" x14ac:dyDescent="0.25">
      <c r="A30" s="23"/>
      <c r="B30" s="24"/>
      <c r="C30" s="25"/>
      <c r="D30" s="26"/>
      <c r="E30" s="27"/>
      <c r="F30" s="49"/>
      <c r="G30" s="28"/>
      <c r="H30" s="27"/>
      <c r="I30" s="38"/>
      <c r="J30" s="38"/>
    </row>
    <row r="31" spans="1:10" ht="19.5" x14ac:dyDescent="0.25">
      <c r="A31" s="17" t="s">
        <v>18</v>
      </c>
      <c r="B31" s="17"/>
      <c r="C31" s="17"/>
      <c r="D31" s="17"/>
      <c r="E31" s="17"/>
      <c r="F31" s="47"/>
      <c r="G31" s="17"/>
      <c r="H31" s="17"/>
      <c r="I31" s="47"/>
      <c r="J31" s="47"/>
    </row>
    <row r="599" spans="4:4" x14ac:dyDescent="0.25">
      <c r="D599" s="1" t="s">
        <v>28</v>
      </c>
    </row>
  </sheetData>
  <mergeCells count="2">
    <mergeCell ref="A1:J1"/>
    <mergeCell ref="A2:J2"/>
  </mergeCells>
  <phoneticPr fontId="4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7"/>
  <sheetViews>
    <sheetView topLeftCell="A28" workbookViewId="0">
      <selection activeCell="I34" sqref="I34:J34"/>
    </sheetView>
  </sheetViews>
  <sheetFormatPr defaultRowHeight="16.5" x14ac:dyDescent="0.25"/>
  <cols>
    <col min="1" max="1" width="9.375" style="2" customWidth="1"/>
    <col min="2" max="2" width="8.375" style="4" customWidth="1"/>
    <col min="3" max="3" width="26" style="1" customWidth="1"/>
    <col min="4" max="4" width="28.125" style="1" customWidth="1"/>
    <col min="5" max="5" width="10.625" style="1" customWidth="1"/>
    <col min="6" max="6" width="8.75" style="3" customWidth="1"/>
    <col min="7" max="7" width="12.875" style="5" customWidth="1"/>
    <col min="8" max="8" width="9.5" style="3" customWidth="1"/>
    <col min="9" max="9" width="13.375" style="1" customWidth="1"/>
    <col min="10" max="10" width="11.5" style="1" customWidth="1"/>
    <col min="11" max="16384" width="9" style="1"/>
  </cols>
  <sheetData>
    <row r="1" spans="1:10" ht="3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7.75" x14ac:dyDescent="0.25">
      <c r="A2" s="70" t="s">
        <v>627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" customFormat="1" ht="21" customHeigh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0" ht="19.5" x14ac:dyDescent="0.25">
      <c r="A4" s="16" t="s">
        <v>628</v>
      </c>
      <c r="B4" s="11">
        <v>43770</v>
      </c>
      <c r="C4" s="15" t="s">
        <v>629</v>
      </c>
      <c r="D4" s="39" t="s">
        <v>630</v>
      </c>
      <c r="E4" s="13" t="s">
        <v>631</v>
      </c>
      <c r="F4" s="8" t="s">
        <v>632</v>
      </c>
      <c r="G4" s="14">
        <v>0</v>
      </c>
      <c r="H4" s="13"/>
      <c r="I4" s="46" t="s">
        <v>633</v>
      </c>
      <c r="J4" s="46" t="s">
        <v>26</v>
      </c>
    </row>
    <row r="5" spans="1:10" ht="28.5" customHeight="1" x14ac:dyDescent="0.25">
      <c r="A5" s="16" t="s">
        <v>634</v>
      </c>
      <c r="B5" s="11">
        <v>43770</v>
      </c>
      <c r="C5" s="37" t="s">
        <v>35</v>
      </c>
      <c r="D5" s="39" t="s">
        <v>36</v>
      </c>
      <c r="E5" s="13" t="s">
        <v>635</v>
      </c>
      <c r="F5" s="8" t="s">
        <v>632</v>
      </c>
      <c r="G5" s="14">
        <f>55*15</f>
        <v>825</v>
      </c>
      <c r="H5" s="13"/>
      <c r="I5" s="46" t="s">
        <v>13</v>
      </c>
      <c r="J5" s="46" t="s">
        <v>636</v>
      </c>
    </row>
    <row r="6" spans="1:10" ht="21.75" customHeight="1" x14ac:dyDescent="0.25">
      <c r="A6" s="20" t="s">
        <v>637</v>
      </c>
      <c r="B6" s="11">
        <v>43773</v>
      </c>
      <c r="C6" s="15" t="s">
        <v>638</v>
      </c>
      <c r="D6" s="39" t="s">
        <v>40</v>
      </c>
      <c r="E6" s="13" t="s">
        <v>639</v>
      </c>
      <c r="F6" s="8" t="s">
        <v>640</v>
      </c>
      <c r="G6" s="14">
        <f>60*20</f>
        <v>1200</v>
      </c>
      <c r="H6" s="13"/>
      <c r="I6" s="46" t="s">
        <v>13</v>
      </c>
      <c r="J6" s="46" t="s">
        <v>641</v>
      </c>
    </row>
    <row r="7" spans="1:10" ht="21.75" customHeight="1" x14ac:dyDescent="0.25">
      <c r="A7" s="20" t="s">
        <v>669</v>
      </c>
      <c r="B7" s="11">
        <v>43773</v>
      </c>
      <c r="C7" s="15" t="s">
        <v>670</v>
      </c>
      <c r="D7" s="39" t="s">
        <v>649</v>
      </c>
      <c r="E7" s="13" t="s">
        <v>662</v>
      </c>
      <c r="F7" s="8" t="s">
        <v>632</v>
      </c>
      <c r="G7" s="14">
        <f>100*12</f>
        <v>1200</v>
      </c>
      <c r="H7" s="13"/>
      <c r="I7" s="46" t="s">
        <v>13</v>
      </c>
      <c r="J7" s="46" t="s">
        <v>641</v>
      </c>
    </row>
    <row r="8" spans="1:10" ht="37.5" customHeight="1" x14ac:dyDescent="0.25">
      <c r="A8" s="20" t="s">
        <v>642</v>
      </c>
      <c r="B8" s="11">
        <v>43775</v>
      </c>
      <c r="C8" s="15" t="s">
        <v>839</v>
      </c>
      <c r="D8" s="39" t="s">
        <v>840</v>
      </c>
      <c r="E8" s="13" t="s">
        <v>643</v>
      </c>
      <c r="F8" s="8" t="s">
        <v>632</v>
      </c>
      <c r="G8" s="14">
        <v>0</v>
      </c>
      <c r="H8" s="13"/>
      <c r="I8" s="39" t="s">
        <v>644</v>
      </c>
      <c r="J8" s="46" t="s">
        <v>676</v>
      </c>
    </row>
    <row r="9" spans="1:10" ht="22.5" customHeight="1" x14ac:dyDescent="0.25">
      <c r="A9" s="20" t="s">
        <v>645</v>
      </c>
      <c r="B9" s="11">
        <v>43775</v>
      </c>
      <c r="C9" s="15" t="s">
        <v>269</v>
      </c>
      <c r="D9" s="39" t="s">
        <v>55</v>
      </c>
      <c r="E9" s="13" t="s">
        <v>646</v>
      </c>
      <c r="F9" s="8" t="s">
        <v>37</v>
      </c>
      <c r="G9" s="14">
        <f>70*10</f>
        <v>700</v>
      </c>
      <c r="H9" s="13"/>
      <c r="I9" s="46" t="s">
        <v>13</v>
      </c>
      <c r="J9" s="46" t="s">
        <v>21</v>
      </c>
    </row>
    <row r="10" spans="1:10" ht="22.5" customHeight="1" x14ac:dyDescent="0.25">
      <c r="A10" s="20" t="s">
        <v>647</v>
      </c>
      <c r="B10" s="11">
        <v>43776</v>
      </c>
      <c r="C10" s="15" t="s">
        <v>648</v>
      </c>
      <c r="D10" s="39" t="s">
        <v>649</v>
      </c>
      <c r="E10" s="13" t="s">
        <v>650</v>
      </c>
      <c r="F10" s="8" t="s">
        <v>632</v>
      </c>
      <c r="G10" s="14">
        <f>50*12</f>
        <v>600</v>
      </c>
      <c r="H10" s="13"/>
      <c r="I10" s="46" t="s">
        <v>13</v>
      </c>
      <c r="J10" s="46" t="s">
        <v>26</v>
      </c>
    </row>
    <row r="11" spans="1:10" ht="22.5" customHeight="1" x14ac:dyDescent="0.25">
      <c r="A11" s="20" t="s">
        <v>651</v>
      </c>
      <c r="B11" s="11">
        <v>43776</v>
      </c>
      <c r="C11" s="45" t="s">
        <v>652</v>
      </c>
      <c r="D11" s="39" t="s">
        <v>17</v>
      </c>
      <c r="E11" s="13" t="s">
        <v>653</v>
      </c>
      <c r="F11" s="8" t="s">
        <v>640</v>
      </c>
      <c r="G11" s="14">
        <f>36*20</f>
        <v>720</v>
      </c>
      <c r="H11" s="13"/>
      <c r="I11" s="46" t="s">
        <v>13</v>
      </c>
      <c r="J11" s="46" t="s">
        <v>641</v>
      </c>
    </row>
    <row r="12" spans="1:10" ht="37.5" customHeight="1" x14ac:dyDescent="0.25">
      <c r="A12" s="20" t="s">
        <v>654</v>
      </c>
      <c r="B12" s="11">
        <v>43776</v>
      </c>
      <c r="C12" s="34" t="s">
        <v>655</v>
      </c>
      <c r="D12" s="39" t="s">
        <v>656</v>
      </c>
      <c r="E12" s="13"/>
      <c r="F12" s="8" t="s">
        <v>632</v>
      </c>
      <c r="G12" s="14">
        <f>42*150+16*150+4+150</f>
        <v>8854</v>
      </c>
      <c r="H12" s="13"/>
      <c r="I12" s="46" t="s">
        <v>657</v>
      </c>
      <c r="J12" s="46" t="s">
        <v>641</v>
      </c>
    </row>
    <row r="13" spans="1:10" ht="38.25" customHeight="1" x14ac:dyDescent="0.25">
      <c r="A13" s="20" t="s">
        <v>659</v>
      </c>
      <c r="B13" s="11">
        <v>43777</v>
      </c>
      <c r="C13" s="37" t="s">
        <v>35</v>
      </c>
      <c r="D13" s="39" t="s">
        <v>36</v>
      </c>
      <c r="E13" s="13" t="s">
        <v>658</v>
      </c>
      <c r="F13" s="8" t="s">
        <v>640</v>
      </c>
      <c r="G13" s="14">
        <f>30*15</f>
        <v>450</v>
      </c>
      <c r="H13" s="13"/>
      <c r="I13" s="46" t="s">
        <v>13</v>
      </c>
      <c r="J13" s="46" t="s">
        <v>636</v>
      </c>
    </row>
    <row r="14" spans="1:10" ht="23.25" customHeight="1" x14ac:dyDescent="0.25">
      <c r="A14" s="20" t="s">
        <v>660</v>
      </c>
      <c r="B14" s="11">
        <v>43782</v>
      </c>
      <c r="C14" s="15" t="s">
        <v>661</v>
      </c>
      <c r="D14" s="39" t="s">
        <v>649</v>
      </c>
      <c r="E14" s="13" t="s">
        <v>662</v>
      </c>
      <c r="F14" s="8" t="s">
        <v>663</v>
      </c>
      <c r="G14" s="14">
        <f>100*12</f>
        <v>1200</v>
      </c>
      <c r="H14" s="13"/>
      <c r="I14" s="46" t="s">
        <v>13</v>
      </c>
      <c r="J14" s="46" t="s">
        <v>641</v>
      </c>
    </row>
    <row r="15" spans="1:10" ht="23.25" customHeight="1" x14ac:dyDescent="0.25">
      <c r="A15" s="20" t="s">
        <v>664</v>
      </c>
      <c r="B15" s="11">
        <v>43782</v>
      </c>
      <c r="C15" s="15" t="s">
        <v>665</v>
      </c>
      <c r="D15" s="39" t="s">
        <v>17</v>
      </c>
      <c r="E15" s="13" t="s">
        <v>662</v>
      </c>
      <c r="F15" s="8" t="s">
        <v>663</v>
      </c>
      <c r="G15" s="14">
        <v>1200</v>
      </c>
      <c r="H15" s="13"/>
      <c r="I15" s="46" t="s">
        <v>13</v>
      </c>
      <c r="J15" s="46" t="s">
        <v>641</v>
      </c>
    </row>
    <row r="16" spans="1:10" ht="23.25" customHeight="1" x14ac:dyDescent="0.25">
      <c r="A16" s="20" t="s">
        <v>666</v>
      </c>
      <c r="B16" s="11">
        <v>43782</v>
      </c>
      <c r="C16" s="15" t="s">
        <v>667</v>
      </c>
      <c r="D16" s="39" t="s">
        <v>17</v>
      </c>
      <c r="E16" s="13" t="s">
        <v>668</v>
      </c>
      <c r="F16" s="8" t="s">
        <v>663</v>
      </c>
      <c r="G16" s="14">
        <f>400*12</f>
        <v>4800</v>
      </c>
      <c r="H16" s="13"/>
      <c r="I16" s="46" t="s">
        <v>13</v>
      </c>
      <c r="J16" s="46" t="s">
        <v>641</v>
      </c>
    </row>
    <row r="17" spans="1:10" ht="23.25" customHeight="1" x14ac:dyDescent="0.25">
      <c r="A17" s="20" t="s">
        <v>671</v>
      </c>
      <c r="B17" s="11">
        <v>43787</v>
      </c>
      <c r="C17" s="45" t="s">
        <v>652</v>
      </c>
      <c r="D17" s="39" t="s">
        <v>17</v>
      </c>
      <c r="E17" s="13" t="s">
        <v>672</v>
      </c>
      <c r="F17" s="8" t="s">
        <v>640</v>
      </c>
      <c r="G17" s="14">
        <f>90*20</f>
        <v>1800</v>
      </c>
      <c r="H17" s="13"/>
      <c r="I17" s="46" t="s">
        <v>13</v>
      </c>
      <c r="J17" s="46" t="s">
        <v>641</v>
      </c>
    </row>
    <row r="18" spans="1:10" ht="23.25" customHeight="1" x14ac:dyDescent="0.25">
      <c r="A18" s="20" t="s">
        <v>673</v>
      </c>
      <c r="B18" s="11"/>
      <c r="C18" s="15" t="s">
        <v>194</v>
      </c>
      <c r="D18" s="39"/>
      <c r="E18" s="13"/>
      <c r="F18" s="8"/>
      <c r="G18" s="14"/>
      <c r="H18" s="13"/>
      <c r="I18" s="46"/>
      <c r="J18" s="46"/>
    </row>
    <row r="19" spans="1:10" ht="36" customHeight="1" x14ac:dyDescent="0.25">
      <c r="A19" s="20" t="s">
        <v>674</v>
      </c>
      <c r="B19" s="11">
        <v>43787</v>
      </c>
      <c r="C19" s="15" t="s">
        <v>675</v>
      </c>
      <c r="D19" s="39" t="s">
        <v>841</v>
      </c>
      <c r="E19" s="13"/>
      <c r="F19" s="8" t="s">
        <v>640</v>
      </c>
      <c r="G19" s="14">
        <v>0</v>
      </c>
      <c r="H19" s="13"/>
      <c r="I19" s="46"/>
      <c r="J19" s="46"/>
    </row>
    <row r="20" spans="1:10" ht="39" customHeight="1" x14ac:dyDescent="0.25">
      <c r="A20" s="20" t="s">
        <v>677</v>
      </c>
      <c r="B20" s="11">
        <v>43783</v>
      </c>
      <c r="C20" s="15" t="s">
        <v>678</v>
      </c>
      <c r="D20" s="39" t="s">
        <v>679</v>
      </c>
      <c r="E20" s="13"/>
      <c r="F20" s="8" t="s">
        <v>632</v>
      </c>
      <c r="G20" s="14">
        <f>5*100+10*100+5*20</f>
        <v>1600</v>
      </c>
      <c r="H20" s="13"/>
      <c r="I20" s="46" t="s">
        <v>657</v>
      </c>
      <c r="J20" s="46" t="s">
        <v>641</v>
      </c>
    </row>
    <row r="21" spans="1:10" ht="24" customHeight="1" x14ac:dyDescent="0.25">
      <c r="A21" s="20" t="s">
        <v>680</v>
      </c>
      <c r="B21" s="11">
        <v>43788</v>
      </c>
      <c r="C21" s="15" t="s">
        <v>681</v>
      </c>
      <c r="D21" s="39" t="s">
        <v>682</v>
      </c>
      <c r="E21" s="13" t="s">
        <v>683</v>
      </c>
      <c r="F21" s="8" t="s">
        <v>632</v>
      </c>
      <c r="G21" s="14">
        <f>3*200</f>
        <v>600</v>
      </c>
      <c r="H21" s="13"/>
      <c r="I21" s="46" t="s">
        <v>657</v>
      </c>
      <c r="J21" s="46" t="s">
        <v>641</v>
      </c>
    </row>
    <row r="22" spans="1:10" ht="24" customHeight="1" x14ac:dyDescent="0.25">
      <c r="A22" s="20" t="s">
        <v>684</v>
      </c>
      <c r="B22" s="11">
        <v>43789</v>
      </c>
      <c r="C22" s="34" t="s">
        <v>685</v>
      </c>
      <c r="D22" s="39" t="s">
        <v>686</v>
      </c>
      <c r="E22" s="13" t="s">
        <v>687</v>
      </c>
      <c r="F22" s="8" t="s">
        <v>663</v>
      </c>
      <c r="G22" s="14">
        <f>16*20</f>
        <v>320</v>
      </c>
      <c r="H22" s="13"/>
      <c r="I22" s="46" t="s">
        <v>657</v>
      </c>
      <c r="J22" s="46" t="s">
        <v>641</v>
      </c>
    </row>
    <row r="23" spans="1:10" ht="24" customHeight="1" x14ac:dyDescent="0.25">
      <c r="A23" s="20" t="s">
        <v>688</v>
      </c>
      <c r="B23" s="11">
        <v>43789</v>
      </c>
      <c r="C23" s="15" t="s">
        <v>689</v>
      </c>
      <c r="D23" s="39" t="s">
        <v>686</v>
      </c>
      <c r="E23" s="13" t="s">
        <v>687</v>
      </c>
      <c r="F23" s="8" t="s">
        <v>663</v>
      </c>
      <c r="G23" s="14">
        <v>320</v>
      </c>
      <c r="H23" s="13"/>
      <c r="I23" s="46" t="s">
        <v>657</v>
      </c>
      <c r="J23" s="46" t="s">
        <v>641</v>
      </c>
    </row>
    <row r="24" spans="1:10" ht="24" customHeight="1" x14ac:dyDescent="0.25">
      <c r="A24" s="20" t="s">
        <v>690</v>
      </c>
      <c r="B24" s="11">
        <v>43789</v>
      </c>
      <c r="C24" s="30" t="s">
        <v>691</v>
      </c>
      <c r="D24" s="39" t="s">
        <v>686</v>
      </c>
      <c r="E24" s="13" t="s">
        <v>692</v>
      </c>
      <c r="F24" s="8" t="s">
        <v>663</v>
      </c>
      <c r="G24" s="14">
        <f>22*20</f>
        <v>440</v>
      </c>
      <c r="H24" s="13"/>
      <c r="I24" s="46" t="s">
        <v>657</v>
      </c>
      <c r="J24" s="46" t="s">
        <v>641</v>
      </c>
    </row>
    <row r="25" spans="1:10" ht="24" customHeight="1" x14ac:dyDescent="0.25">
      <c r="A25" s="20" t="s">
        <v>693</v>
      </c>
      <c r="B25" s="11">
        <v>43789</v>
      </c>
      <c r="C25" s="31" t="s">
        <v>694</v>
      </c>
      <c r="D25" s="39" t="s">
        <v>686</v>
      </c>
      <c r="E25" s="13" t="s">
        <v>695</v>
      </c>
      <c r="F25" s="8" t="s">
        <v>663</v>
      </c>
      <c r="G25" s="14">
        <f>2*20</f>
        <v>40</v>
      </c>
      <c r="H25" s="13"/>
      <c r="I25" s="46" t="s">
        <v>657</v>
      </c>
      <c r="J25" s="46" t="s">
        <v>641</v>
      </c>
    </row>
    <row r="26" spans="1:10" ht="24" customHeight="1" x14ac:dyDescent="0.25">
      <c r="A26" s="20" t="s">
        <v>696</v>
      </c>
      <c r="B26" s="11">
        <v>43791</v>
      </c>
      <c r="C26" s="15" t="s">
        <v>697</v>
      </c>
      <c r="D26" s="39" t="s">
        <v>698</v>
      </c>
      <c r="E26" s="13" t="s">
        <v>699</v>
      </c>
      <c r="F26" s="8" t="s">
        <v>700</v>
      </c>
      <c r="G26" s="14">
        <f>2*385</f>
        <v>770</v>
      </c>
      <c r="H26" s="13"/>
      <c r="I26" s="46" t="s">
        <v>633</v>
      </c>
      <c r="J26" s="46" t="s">
        <v>641</v>
      </c>
    </row>
    <row r="27" spans="1:10" ht="38.25" customHeight="1" x14ac:dyDescent="0.25">
      <c r="A27" s="20" t="s">
        <v>701</v>
      </c>
      <c r="B27" s="11">
        <v>43791</v>
      </c>
      <c r="C27" s="15" t="s">
        <v>702</v>
      </c>
      <c r="D27" s="39" t="s">
        <v>703</v>
      </c>
      <c r="E27" s="13"/>
      <c r="F27" s="8" t="s">
        <v>700</v>
      </c>
      <c r="G27" s="14">
        <f>46*200+16*20+50*10</f>
        <v>10020</v>
      </c>
      <c r="H27" s="13"/>
      <c r="I27" s="39" t="s">
        <v>38</v>
      </c>
      <c r="J27" s="46" t="s">
        <v>641</v>
      </c>
    </row>
    <row r="28" spans="1:10" ht="38.25" customHeight="1" x14ac:dyDescent="0.25">
      <c r="A28" s="20" t="s">
        <v>705</v>
      </c>
      <c r="B28" s="11">
        <v>43791</v>
      </c>
      <c r="C28" s="37" t="s">
        <v>35</v>
      </c>
      <c r="D28" s="39" t="s">
        <v>36</v>
      </c>
      <c r="E28" s="13" t="s">
        <v>704</v>
      </c>
      <c r="F28" s="8" t="s">
        <v>640</v>
      </c>
      <c r="G28" s="14">
        <f>55*15</f>
        <v>825</v>
      </c>
      <c r="H28" s="13"/>
      <c r="I28" s="46" t="s">
        <v>13</v>
      </c>
      <c r="J28" s="46" t="s">
        <v>636</v>
      </c>
    </row>
    <row r="29" spans="1:10" ht="106.5" customHeight="1" x14ac:dyDescent="0.25">
      <c r="A29" s="20" t="s">
        <v>706</v>
      </c>
      <c r="B29" s="11">
        <v>43793</v>
      </c>
      <c r="C29" s="15" t="s">
        <v>707</v>
      </c>
      <c r="D29" s="39" t="s">
        <v>842</v>
      </c>
      <c r="E29" s="13"/>
      <c r="F29" s="8" t="s">
        <v>663</v>
      </c>
      <c r="G29" s="14">
        <f>100*15+100*20+99*10+100*400*0.21+100*50+100*10+100*50+100*10</f>
        <v>24890</v>
      </c>
      <c r="H29" s="13"/>
      <c r="I29" s="46" t="s">
        <v>633</v>
      </c>
      <c r="J29" s="46" t="s">
        <v>641</v>
      </c>
    </row>
    <row r="30" spans="1:10" ht="24" customHeight="1" x14ac:dyDescent="0.25">
      <c r="A30" s="20" t="s">
        <v>708</v>
      </c>
      <c r="B30" s="11">
        <v>43795</v>
      </c>
      <c r="C30" s="15" t="s">
        <v>709</v>
      </c>
      <c r="D30" s="39" t="s">
        <v>710</v>
      </c>
      <c r="E30" s="13" t="s">
        <v>711</v>
      </c>
      <c r="F30" s="8" t="s">
        <v>663</v>
      </c>
      <c r="G30" s="14">
        <v>0</v>
      </c>
      <c r="H30" s="13"/>
      <c r="I30" s="8" t="s">
        <v>32</v>
      </c>
      <c r="J30" s="50" t="s">
        <v>33</v>
      </c>
    </row>
    <row r="31" spans="1:10" ht="24" customHeight="1" x14ac:dyDescent="0.25">
      <c r="A31" s="20" t="s">
        <v>712</v>
      </c>
      <c r="B31" s="11">
        <v>43795</v>
      </c>
      <c r="C31" s="15" t="s">
        <v>713</v>
      </c>
      <c r="D31" s="39" t="s">
        <v>714</v>
      </c>
      <c r="E31" s="13" t="s">
        <v>715</v>
      </c>
      <c r="F31" s="8" t="s">
        <v>716</v>
      </c>
      <c r="G31" s="14">
        <f>150*10</f>
        <v>1500</v>
      </c>
      <c r="H31" s="13"/>
      <c r="I31" s="46" t="s">
        <v>633</v>
      </c>
      <c r="J31" s="46" t="s">
        <v>636</v>
      </c>
    </row>
    <row r="32" spans="1:10" ht="24" customHeight="1" x14ac:dyDescent="0.25">
      <c r="A32" s="20" t="s">
        <v>717</v>
      </c>
      <c r="B32" s="11">
        <v>43796</v>
      </c>
      <c r="C32" s="15" t="s">
        <v>718</v>
      </c>
      <c r="D32" s="39" t="s">
        <v>17</v>
      </c>
      <c r="E32" s="13" t="s">
        <v>719</v>
      </c>
      <c r="F32" s="8" t="s">
        <v>640</v>
      </c>
      <c r="G32" s="14">
        <f>510*20</f>
        <v>10200</v>
      </c>
      <c r="H32" s="13"/>
      <c r="I32" s="46" t="s">
        <v>13</v>
      </c>
      <c r="J32" s="46" t="s">
        <v>641</v>
      </c>
    </row>
    <row r="33" spans="1:10" ht="24" customHeight="1" x14ac:dyDescent="0.25">
      <c r="A33" s="20" t="s">
        <v>720</v>
      </c>
      <c r="B33" s="11">
        <v>43797</v>
      </c>
      <c r="C33" s="15" t="s">
        <v>721</v>
      </c>
      <c r="D33" s="39" t="s">
        <v>722</v>
      </c>
      <c r="E33" s="13" t="s">
        <v>723</v>
      </c>
      <c r="F33" s="8" t="s">
        <v>663</v>
      </c>
      <c r="G33" s="14">
        <f>50*5*20</f>
        <v>5000</v>
      </c>
      <c r="H33" s="13"/>
      <c r="I33" s="46" t="s">
        <v>13</v>
      </c>
      <c r="J33" s="46" t="s">
        <v>641</v>
      </c>
    </row>
    <row r="34" spans="1:10" ht="24" customHeight="1" x14ac:dyDescent="0.25">
      <c r="A34" s="20" t="s">
        <v>724</v>
      </c>
      <c r="B34" s="11">
        <v>43797</v>
      </c>
      <c r="C34" s="15" t="s">
        <v>725</v>
      </c>
      <c r="D34" s="39" t="s">
        <v>710</v>
      </c>
      <c r="E34" s="13" t="s">
        <v>726</v>
      </c>
      <c r="F34" s="8" t="s">
        <v>663</v>
      </c>
      <c r="G34" s="14">
        <v>0</v>
      </c>
      <c r="H34" s="13"/>
      <c r="I34" s="8" t="s">
        <v>32</v>
      </c>
      <c r="J34" s="50" t="s">
        <v>33</v>
      </c>
    </row>
    <row r="35" spans="1:10" ht="78.75" customHeight="1" x14ac:dyDescent="0.25">
      <c r="A35" s="20" t="s">
        <v>727</v>
      </c>
      <c r="B35" s="11">
        <v>43798</v>
      </c>
      <c r="C35" s="15" t="s">
        <v>728</v>
      </c>
      <c r="D35" s="39" t="s">
        <v>52</v>
      </c>
      <c r="E35" s="13" t="s">
        <v>729</v>
      </c>
      <c r="F35" s="8" t="s">
        <v>663</v>
      </c>
      <c r="G35" s="14">
        <f>35*50</f>
        <v>1750</v>
      </c>
      <c r="H35" s="13"/>
      <c r="I35" s="46" t="s">
        <v>633</v>
      </c>
      <c r="J35" s="46" t="s">
        <v>636</v>
      </c>
    </row>
    <row r="36" spans="1:10" ht="24" customHeight="1" x14ac:dyDescent="0.25">
      <c r="A36" s="20" t="s">
        <v>730</v>
      </c>
      <c r="B36" s="11">
        <v>43798</v>
      </c>
      <c r="C36" s="35" t="s">
        <v>35</v>
      </c>
      <c r="D36" s="39" t="s">
        <v>36</v>
      </c>
      <c r="E36" s="13" t="s">
        <v>731</v>
      </c>
      <c r="F36" s="8" t="s">
        <v>632</v>
      </c>
      <c r="G36" s="14">
        <f>58*15</f>
        <v>870</v>
      </c>
      <c r="H36" s="13"/>
      <c r="I36" s="46" t="s">
        <v>13</v>
      </c>
      <c r="J36" s="46" t="s">
        <v>636</v>
      </c>
    </row>
    <row r="37" spans="1:10" ht="24.75" customHeight="1" x14ac:dyDescent="0.25">
      <c r="A37" s="10"/>
      <c r="B37" s="11"/>
      <c r="C37" s="15"/>
      <c r="D37" s="48" t="s">
        <v>29</v>
      </c>
      <c r="E37" s="13"/>
      <c r="F37" s="8"/>
      <c r="G37" s="33">
        <f>SUM(G4:G36)</f>
        <v>82694</v>
      </c>
      <c r="H37" s="13"/>
      <c r="I37" s="46"/>
      <c r="J37" s="46"/>
    </row>
    <row r="38" spans="1:10" ht="21" customHeight="1" x14ac:dyDescent="0.25">
      <c r="A38" s="23"/>
      <c r="B38" s="24"/>
      <c r="C38" s="25"/>
      <c r="D38" s="51"/>
      <c r="E38" s="27"/>
      <c r="F38" s="49"/>
      <c r="G38" s="28"/>
      <c r="H38" s="27"/>
      <c r="I38" s="38"/>
      <c r="J38" s="38"/>
    </row>
    <row r="39" spans="1:10" ht="19.5" x14ac:dyDescent="0.25">
      <c r="A39" s="17" t="s">
        <v>18</v>
      </c>
      <c r="B39" s="17"/>
      <c r="C39" s="17"/>
      <c r="D39" s="47"/>
      <c r="E39" s="17"/>
      <c r="F39" s="47"/>
      <c r="G39" s="17"/>
      <c r="H39" s="17"/>
      <c r="I39" s="47"/>
      <c r="J39" s="47"/>
    </row>
    <row r="607" spans="4:4" x14ac:dyDescent="0.25">
      <c r="D607" s="1" t="s">
        <v>28</v>
      </c>
    </row>
  </sheetData>
  <mergeCells count="2">
    <mergeCell ref="A1:J1"/>
    <mergeCell ref="A2:J2"/>
  </mergeCells>
  <phoneticPr fontId="4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2"/>
  <sheetViews>
    <sheetView topLeftCell="A25" workbookViewId="0">
      <selection activeCell="C32" sqref="C32:E32"/>
    </sheetView>
  </sheetViews>
  <sheetFormatPr defaultRowHeight="16.5" x14ac:dyDescent="0.25"/>
  <cols>
    <col min="1" max="1" width="9.375" style="2" customWidth="1"/>
    <col min="2" max="2" width="8.375" style="4" customWidth="1"/>
    <col min="3" max="3" width="26.625" style="1" customWidth="1"/>
    <col min="4" max="4" width="28.125" style="1" customWidth="1"/>
    <col min="5" max="5" width="10.625" style="1" customWidth="1"/>
    <col min="6" max="6" width="9.375" style="3" customWidth="1"/>
    <col min="7" max="7" width="12.125" style="5" customWidth="1"/>
    <col min="8" max="8" width="9.5" style="3" customWidth="1"/>
    <col min="9" max="9" width="13" style="1" customWidth="1"/>
    <col min="10" max="10" width="11.875" style="1" customWidth="1"/>
    <col min="11" max="16384" width="9" style="1"/>
  </cols>
  <sheetData>
    <row r="1" spans="1:10" ht="3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7.75" x14ac:dyDescent="0.25">
      <c r="A2" s="70" t="s">
        <v>732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" customFormat="1" ht="21.75" customHeigh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0" ht="19.5" x14ac:dyDescent="0.25">
      <c r="A4" s="16" t="s">
        <v>733</v>
      </c>
      <c r="B4" s="11">
        <v>43801</v>
      </c>
      <c r="C4" s="15" t="s">
        <v>734</v>
      </c>
      <c r="D4" s="39" t="s">
        <v>735</v>
      </c>
      <c r="E4" s="13"/>
      <c r="F4" s="13" t="s">
        <v>12</v>
      </c>
      <c r="G4" s="14">
        <v>200</v>
      </c>
      <c r="H4" s="13"/>
      <c r="I4" s="46" t="s">
        <v>44</v>
      </c>
      <c r="J4" s="46" t="s">
        <v>43</v>
      </c>
    </row>
    <row r="5" spans="1:10" ht="33" x14ac:dyDescent="0.25">
      <c r="A5" s="16" t="s">
        <v>736</v>
      </c>
      <c r="B5" s="11">
        <v>43804</v>
      </c>
      <c r="C5" s="36" t="s">
        <v>737</v>
      </c>
      <c r="D5" s="39" t="s">
        <v>738</v>
      </c>
      <c r="E5" s="13"/>
      <c r="F5" s="13" t="s">
        <v>50</v>
      </c>
      <c r="G5" s="14">
        <f>8*50+18*10+200</f>
        <v>780</v>
      </c>
      <c r="H5" s="13"/>
      <c r="I5" s="39" t="s">
        <v>38</v>
      </c>
      <c r="J5" s="46" t="s">
        <v>14</v>
      </c>
    </row>
    <row r="6" spans="1:10" ht="19.5" x14ac:dyDescent="0.25">
      <c r="A6" s="20" t="s">
        <v>739</v>
      </c>
      <c r="B6" s="11">
        <v>43803</v>
      </c>
      <c r="C6" s="30" t="s">
        <v>497</v>
      </c>
      <c r="D6" s="39" t="s">
        <v>740</v>
      </c>
      <c r="E6" s="13" t="s">
        <v>741</v>
      </c>
      <c r="F6" s="13" t="s">
        <v>45</v>
      </c>
      <c r="G6" s="14">
        <f>20*50</f>
        <v>1000</v>
      </c>
      <c r="H6" s="13"/>
      <c r="I6" s="46" t="s">
        <v>15</v>
      </c>
      <c r="J6" s="46" t="s">
        <v>14</v>
      </c>
    </row>
    <row r="7" spans="1:10" ht="19.5" customHeight="1" x14ac:dyDescent="0.25">
      <c r="A7" s="20" t="s">
        <v>742</v>
      </c>
      <c r="B7" s="11">
        <v>43803</v>
      </c>
      <c r="C7" s="15" t="s">
        <v>743</v>
      </c>
      <c r="D7" s="39" t="s">
        <v>740</v>
      </c>
      <c r="E7" s="13" t="s">
        <v>744</v>
      </c>
      <c r="F7" s="13" t="s">
        <v>45</v>
      </c>
      <c r="G7" s="14">
        <v>500</v>
      </c>
      <c r="H7" s="13"/>
      <c r="I7" s="46" t="s">
        <v>15</v>
      </c>
      <c r="J7" s="46" t="s">
        <v>14</v>
      </c>
    </row>
    <row r="8" spans="1:10" ht="19.5" customHeight="1" x14ac:dyDescent="0.25">
      <c r="A8" s="20" t="s">
        <v>745</v>
      </c>
      <c r="B8" s="11">
        <v>43803</v>
      </c>
      <c r="C8" s="15" t="s">
        <v>746</v>
      </c>
      <c r="D8" s="39" t="s">
        <v>740</v>
      </c>
      <c r="E8" s="13" t="s">
        <v>744</v>
      </c>
      <c r="F8" s="13" t="s">
        <v>45</v>
      </c>
      <c r="G8" s="14">
        <v>500</v>
      </c>
      <c r="H8" s="13"/>
      <c r="I8" s="46" t="s">
        <v>15</v>
      </c>
      <c r="J8" s="46" t="s">
        <v>14</v>
      </c>
    </row>
    <row r="9" spans="1:10" ht="19.5" customHeight="1" x14ac:dyDescent="0.25">
      <c r="A9" s="20" t="s">
        <v>747</v>
      </c>
      <c r="B9" s="11">
        <v>43803</v>
      </c>
      <c r="C9" s="15" t="s">
        <v>748</v>
      </c>
      <c r="D9" s="39" t="s">
        <v>740</v>
      </c>
      <c r="E9" s="13" t="s">
        <v>744</v>
      </c>
      <c r="F9" s="13" t="s">
        <v>45</v>
      </c>
      <c r="G9" s="14">
        <v>500</v>
      </c>
      <c r="H9" s="13"/>
      <c r="I9" s="46" t="s">
        <v>15</v>
      </c>
      <c r="J9" s="46" t="s">
        <v>14</v>
      </c>
    </row>
    <row r="10" spans="1:10" ht="19.5" customHeight="1" x14ac:dyDescent="0.25">
      <c r="A10" s="20" t="s">
        <v>749</v>
      </c>
      <c r="B10" s="11">
        <v>43803</v>
      </c>
      <c r="C10" s="15" t="s">
        <v>750</v>
      </c>
      <c r="D10" s="39" t="s">
        <v>740</v>
      </c>
      <c r="E10" s="13" t="s">
        <v>744</v>
      </c>
      <c r="F10" s="13" t="s">
        <v>45</v>
      </c>
      <c r="G10" s="14">
        <v>500</v>
      </c>
      <c r="H10" s="13"/>
      <c r="I10" s="46" t="s">
        <v>15</v>
      </c>
      <c r="J10" s="46" t="s">
        <v>14</v>
      </c>
    </row>
    <row r="11" spans="1:10" ht="36" customHeight="1" x14ac:dyDescent="0.25">
      <c r="A11" s="20" t="s">
        <v>751</v>
      </c>
      <c r="B11" s="11">
        <v>43803</v>
      </c>
      <c r="C11" s="15" t="s">
        <v>752</v>
      </c>
      <c r="D11" s="39" t="s">
        <v>740</v>
      </c>
      <c r="E11" s="13" t="s">
        <v>744</v>
      </c>
      <c r="F11" s="13" t="s">
        <v>45</v>
      </c>
      <c r="G11" s="14">
        <v>500</v>
      </c>
      <c r="H11" s="13"/>
      <c r="I11" s="46" t="s">
        <v>15</v>
      </c>
      <c r="J11" s="46" t="s">
        <v>14</v>
      </c>
    </row>
    <row r="12" spans="1:10" ht="19.5" customHeight="1" x14ac:dyDescent="0.25">
      <c r="A12" s="20" t="s">
        <v>753</v>
      </c>
      <c r="B12" s="11">
        <v>43803</v>
      </c>
      <c r="C12" s="15" t="s">
        <v>754</v>
      </c>
      <c r="D12" s="39" t="s">
        <v>51</v>
      </c>
      <c r="E12" s="13" t="s">
        <v>46</v>
      </c>
      <c r="F12" s="13" t="s">
        <v>45</v>
      </c>
      <c r="G12" s="14">
        <v>500</v>
      </c>
      <c r="H12" s="13"/>
      <c r="I12" s="46" t="s">
        <v>15</v>
      </c>
      <c r="J12" s="46" t="s">
        <v>14</v>
      </c>
    </row>
    <row r="13" spans="1:10" ht="19.5" customHeight="1" x14ac:dyDescent="0.25">
      <c r="A13" s="20" t="s">
        <v>755</v>
      </c>
      <c r="B13" s="11">
        <v>44169</v>
      </c>
      <c r="C13" s="15" t="s">
        <v>756</v>
      </c>
      <c r="D13" s="39" t="s">
        <v>51</v>
      </c>
      <c r="E13" s="13" t="s">
        <v>46</v>
      </c>
      <c r="F13" s="13" t="s">
        <v>45</v>
      </c>
      <c r="G13" s="14">
        <v>500</v>
      </c>
      <c r="H13" s="13"/>
      <c r="I13" s="46" t="s">
        <v>15</v>
      </c>
      <c r="J13" s="46" t="s">
        <v>14</v>
      </c>
    </row>
    <row r="14" spans="1:10" ht="19.5" customHeight="1" x14ac:dyDescent="0.25">
      <c r="A14" s="20" t="s">
        <v>757</v>
      </c>
      <c r="B14" s="11">
        <v>44169</v>
      </c>
      <c r="C14" s="15" t="s">
        <v>758</v>
      </c>
      <c r="D14" s="39" t="s">
        <v>51</v>
      </c>
      <c r="E14" s="13" t="s">
        <v>46</v>
      </c>
      <c r="F14" s="13" t="s">
        <v>45</v>
      </c>
      <c r="G14" s="14">
        <v>500</v>
      </c>
      <c r="H14" s="13"/>
      <c r="I14" s="46" t="s">
        <v>15</v>
      </c>
      <c r="J14" s="46" t="s">
        <v>14</v>
      </c>
    </row>
    <row r="15" spans="1:10" ht="19.5" customHeight="1" x14ac:dyDescent="0.25">
      <c r="A15" s="20" t="s">
        <v>759</v>
      </c>
      <c r="B15" s="11"/>
      <c r="C15" s="15" t="s">
        <v>760</v>
      </c>
      <c r="D15" s="39"/>
      <c r="E15" s="13"/>
      <c r="F15" s="13"/>
      <c r="G15" s="14"/>
      <c r="H15" s="13"/>
      <c r="I15" s="46"/>
      <c r="J15" s="46"/>
    </row>
    <row r="16" spans="1:10" ht="19.5" customHeight="1" x14ac:dyDescent="0.25">
      <c r="A16" s="20" t="s">
        <v>761</v>
      </c>
      <c r="B16" s="11">
        <v>44169</v>
      </c>
      <c r="C16" s="15" t="s">
        <v>762</v>
      </c>
      <c r="D16" s="39" t="s">
        <v>51</v>
      </c>
      <c r="E16" s="13" t="s">
        <v>46</v>
      </c>
      <c r="F16" s="13" t="s">
        <v>45</v>
      </c>
      <c r="G16" s="14">
        <v>500</v>
      </c>
      <c r="H16" s="13"/>
      <c r="I16" s="46" t="s">
        <v>15</v>
      </c>
      <c r="J16" s="46" t="s">
        <v>14</v>
      </c>
    </row>
    <row r="17" spans="1:10" ht="19.5" customHeight="1" x14ac:dyDescent="0.25">
      <c r="A17" s="20" t="s">
        <v>763</v>
      </c>
      <c r="B17" s="11">
        <v>44169</v>
      </c>
      <c r="C17" s="15" t="s">
        <v>764</v>
      </c>
      <c r="D17" s="39" t="s">
        <v>51</v>
      </c>
      <c r="E17" s="13" t="s">
        <v>46</v>
      </c>
      <c r="F17" s="13" t="s">
        <v>45</v>
      </c>
      <c r="G17" s="14">
        <v>500</v>
      </c>
      <c r="H17" s="13"/>
      <c r="I17" s="46" t="s">
        <v>15</v>
      </c>
      <c r="J17" s="46" t="s">
        <v>14</v>
      </c>
    </row>
    <row r="18" spans="1:10" ht="31.5" customHeight="1" x14ac:dyDescent="0.25">
      <c r="A18" s="20" t="s">
        <v>765</v>
      </c>
      <c r="B18" s="11">
        <v>44171</v>
      </c>
      <c r="C18" s="37" t="s">
        <v>35</v>
      </c>
      <c r="D18" s="39" t="s">
        <v>36</v>
      </c>
      <c r="E18" s="13" t="s">
        <v>766</v>
      </c>
      <c r="F18" s="13" t="s">
        <v>640</v>
      </c>
      <c r="G18" s="14">
        <f>50*15</f>
        <v>750</v>
      </c>
      <c r="H18" s="13"/>
      <c r="I18" s="46" t="s">
        <v>13</v>
      </c>
      <c r="J18" s="46" t="s">
        <v>21</v>
      </c>
    </row>
    <row r="19" spans="1:10" ht="57" customHeight="1" x14ac:dyDescent="0.25">
      <c r="A19" s="20" t="s">
        <v>767</v>
      </c>
      <c r="B19" s="11">
        <v>44171</v>
      </c>
      <c r="C19" s="15" t="s">
        <v>768</v>
      </c>
      <c r="D19" s="39" t="s">
        <v>769</v>
      </c>
      <c r="E19" s="13"/>
      <c r="F19" s="13" t="s">
        <v>640</v>
      </c>
      <c r="G19" s="14">
        <f>27*20+12*15+3.4*50+13.5*50</f>
        <v>1565</v>
      </c>
      <c r="H19" s="13"/>
      <c r="I19" s="46" t="s">
        <v>13</v>
      </c>
      <c r="J19" s="46" t="s">
        <v>26</v>
      </c>
    </row>
    <row r="20" spans="1:10" ht="42" customHeight="1" x14ac:dyDescent="0.25">
      <c r="A20" s="20" t="s">
        <v>806</v>
      </c>
      <c r="B20" s="11">
        <v>44174</v>
      </c>
      <c r="C20" s="15" t="s">
        <v>807</v>
      </c>
      <c r="D20" s="39" t="s">
        <v>808</v>
      </c>
      <c r="E20" s="13"/>
      <c r="F20" s="13" t="s">
        <v>640</v>
      </c>
      <c r="G20" s="14">
        <f>140*20</f>
        <v>2800</v>
      </c>
      <c r="H20" s="13"/>
      <c r="I20" s="46" t="s">
        <v>13</v>
      </c>
      <c r="J20" s="46" t="s">
        <v>26</v>
      </c>
    </row>
    <row r="21" spans="1:10" ht="19.5" customHeight="1" x14ac:dyDescent="0.25">
      <c r="A21" s="20" t="s">
        <v>770</v>
      </c>
      <c r="B21" s="11">
        <v>44175</v>
      </c>
      <c r="C21" s="15" t="s">
        <v>771</v>
      </c>
      <c r="D21" s="39" t="s">
        <v>804</v>
      </c>
      <c r="E21" s="13" t="s">
        <v>780</v>
      </c>
      <c r="F21" s="13" t="s">
        <v>12</v>
      </c>
      <c r="G21" s="14">
        <v>500</v>
      </c>
      <c r="H21" s="13"/>
      <c r="I21" s="46" t="s">
        <v>13</v>
      </c>
      <c r="J21" s="46" t="s">
        <v>772</v>
      </c>
    </row>
    <row r="22" spans="1:10" ht="19.5" customHeight="1" x14ac:dyDescent="0.25">
      <c r="A22" s="20" t="s">
        <v>809</v>
      </c>
      <c r="B22" s="11">
        <v>44176</v>
      </c>
      <c r="C22" s="15" t="s">
        <v>810</v>
      </c>
      <c r="D22" s="39" t="s">
        <v>788</v>
      </c>
      <c r="E22" s="13" t="s">
        <v>811</v>
      </c>
      <c r="F22" s="13" t="s">
        <v>45</v>
      </c>
      <c r="G22" s="14">
        <f>48*20</f>
        <v>960</v>
      </c>
      <c r="H22" s="13"/>
      <c r="I22" s="46" t="s">
        <v>13</v>
      </c>
      <c r="J22" s="46" t="s">
        <v>26</v>
      </c>
    </row>
    <row r="23" spans="1:10" ht="98.25" customHeight="1" x14ac:dyDescent="0.25">
      <c r="A23" s="20" t="s">
        <v>773</v>
      </c>
      <c r="B23" s="11">
        <v>44176</v>
      </c>
      <c r="C23" s="15" t="s">
        <v>774</v>
      </c>
      <c r="D23" s="39" t="s">
        <v>775</v>
      </c>
      <c r="E23" s="13"/>
      <c r="F23" s="13" t="s">
        <v>45</v>
      </c>
      <c r="G23" s="14">
        <f>36*20+2*200+2*200+200+90*20+9.6*100</f>
        <v>4480</v>
      </c>
      <c r="H23" s="13"/>
      <c r="I23" s="46" t="s">
        <v>13</v>
      </c>
      <c r="J23" s="46" t="s">
        <v>26</v>
      </c>
    </row>
    <row r="24" spans="1:10" ht="19.5" customHeight="1" x14ac:dyDescent="0.25">
      <c r="A24" s="20" t="s">
        <v>776</v>
      </c>
      <c r="B24" s="11">
        <v>44178</v>
      </c>
      <c r="C24" s="37" t="s">
        <v>35</v>
      </c>
      <c r="D24" s="39" t="s">
        <v>36</v>
      </c>
      <c r="E24" s="13" t="s">
        <v>777</v>
      </c>
      <c r="F24" s="13" t="s">
        <v>45</v>
      </c>
      <c r="G24" s="14">
        <f>39*15</f>
        <v>585</v>
      </c>
      <c r="H24" s="13"/>
      <c r="I24" s="46" t="s">
        <v>13</v>
      </c>
      <c r="J24" s="46" t="s">
        <v>21</v>
      </c>
    </row>
    <row r="25" spans="1:10" ht="19.5" customHeight="1" x14ac:dyDescent="0.25">
      <c r="A25" s="20" t="s">
        <v>778</v>
      </c>
      <c r="B25" s="11">
        <v>44180</v>
      </c>
      <c r="C25" s="15" t="s">
        <v>779</v>
      </c>
      <c r="D25" s="39" t="s">
        <v>781</v>
      </c>
      <c r="E25" s="13" t="s">
        <v>780</v>
      </c>
      <c r="F25" s="13" t="s">
        <v>782</v>
      </c>
      <c r="G25" s="14">
        <v>200</v>
      </c>
      <c r="H25" s="13"/>
      <c r="I25" s="46" t="s">
        <v>13</v>
      </c>
      <c r="J25" s="46" t="s">
        <v>26</v>
      </c>
    </row>
    <row r="26" spans="1:10" ht="19.5" customHeight="1" x14ac:dyDescent="0.25">
      <c r="A26" s="20" t="s">
        <v>783</v>
      </c>
      <c r="B26" s="11">
        <v>44184</v>
      </c>
      <c r="C26" s="15" t="s">
        <v>784</v>
      </c>
      <c r="D26" s="39" t="s">
        <v>790</v>
      </c>
      <c r="E26" s="13" t="s">
        <v>791</v>
      </c>
      <c r="F26" s="13" t="s">
        <v>785</v>
      </c>
      <c r="G26" s="14">
        <f>360*20</f>
        <v>7200</v>
      </c>
      <c r="H26" s="13"/>
      <c r="I26" s="46" t="s">
        <v>13</v>
      </c>
      <c r="J26" s="46" t="s">
        <v>26</v>
      </c>
    </row>
    <row r="27" spans="1:10" ht="19.5" customHeight="1" x14ac:dyDescent="0.25">
      <c r="A27" s="20" t="s">
        <v>786</v>
      </c>
      <c r="B27" s="11">
        <v>44185</v>
      </c>
      <c r="C27" s="15" t="s">
        <v>787</v>
      </c>
      <c r="D27" s="39" t="s">
        <v>788</v>
      </c>
      <c r="E27" s="13" t="s">
        <v>789</v>
      </c>
      <c r="F27" s="13" t="s">
        <v>640</v>
      </c>
      <c r="G27" s="14">
        <f>140*20</f>
        <v>2800</v>
      </c>
      <c r="H27" s="13"/>
      <c r="I27" s="46" t="s">
        <v>13</v>
      </c>
      <c r="J27" s="46" t="s">
        <v>26</v>
      </c>
    </row>
    <row r="28" spans="1:10" ht="38.25" customHeight="1" x14ac:dyDescent="0.25">
      <c r="A28" s="20" t="s">
        <v>792</v>
      </c>
      <c r="B28" s="11">
        <v>44185</v>
      </c>
      <c r="C28" s="37" t="s">
        <v>35</v>
      </c>
      <c r="D28" s="39" t="s">
        <v>36</v>
      </c>
      <c r="E28" s="13" t="s">
        <v>793</v>
      </c>
      <c r="F28" s="13" t="s">
        <v>640</v>
      </c>
      <c r="G28" s="14">
        <f>30*15</f>
        <v>450</v>
      </c>
      <c r="H28" s="13"/>
      <c r="I28" s="46" t="s">
        <v>13</v>
      </c>
      <c r="J28" s="46" t="s">
        <v>21</v>
      </c>
    </row>
    <row r="29" spans="1:10" ht="19.5" customHeight="1" x14ac:dyDescent="0.25">
      <c r="A29" s="20" t="s">
        <v>794</v>
      </c>
      <c r="B29" s="11">
        <v>44188</v>
      </c>
      <c r="C29" s="15" t="s">
        <v>795</v>
      </c>
      <c r="D29" s="39" t="s">
        <v>796</v>
      </c>
      <c r="E29" s="13" t="s">
        <v>780</v>
      </c>
      <c r="F29" s="13" t="s">
        <v>12</v>
      </c>
      <c r="G29" s="14">
        <v>500</v>
      </c>
      <c r="H29" s="13"/>
      <c r="I29" s="46" t="s">
        <v>15</v>
      </c>
      <c r="J29" s="46" t="s">
        <v>14</v>
      </c>
    </row>
    <row r="30" spans="1:10" ht="19.5" customHeight="1" x14ac:dyDescent="0.25">
      <c r="A30" s="20" t="s">
        <v>797</v>
      </c>
      <c r="B30" s="11">
        <v>44188</v>
      </c>
      <c r="C30" s="15" t="s">
        <v>798</v>
      </c>
      <c r="D30" s="39" t="s">
        <v>799</v>
      </c>
      <c r="E30" s="13" t="s">
        <v>780</v>
      </c>
      <c r="F30" s="13" t="s">
        <v>45</v>
      </c>
      <c r="G30" s="14">
        <v>400</v>
      </c>
      <c r="H30" s="13"/>
      <c r="I30" s="46" t="s">
        <v>15</v>
      </c>
      <c r="J30" s="46" t="s">
        <v>14</v>
      </c>
    </row>
    <row r="31" spans="1:10" ht="60.75" customHeight="1" x14ac:dyDescent="0.25">
      <c r="A31" s="20" t="s">
        <v>800</v>
      </c>
      <c r="B31" s="11">
        <v>44189</v>
      </c>
      <c r="C31" s="15" t="s">
        <v>801</v>
      </c>
      <c r="D31" s="39" t="s">
        <v>802</v>
      </c>
      <c r="E31" s="13"/>
      <c r="F31" s="13" t="s">
        <v>45</v>
      </c>
      <c r="G31" s="14">
        <v>500</v>
      </c>
      <c r="H31" s="13"/>
      <c r="I31" s="39" t="s">
        <v>38</v>
      </c>
      <c r="J31" s="46" t="s">
        <v>26</v>
      </c>
    </row>
    <row r="32" spans="1:10" ht="19.5" customHeight="1" x14ac:dyDescent="0.25">
      <c r="A32" s="20" t="s">
        <v>803</v>
      </c>
      <c r="B32" s="11">
        <v>44189</v>
      </c>
      <c r="C32" s="15" t="s">
        <v>771</v>
      </c>
      <c r="D32" s="39" t="s">
        <v>804</v>
      </c>
      <c r="E32" s="13" t="s">
        <v>780</v>
      </c>
      <c r="F32" s="13" t="s">
        <v>45</v>
      </c>
      <c r="G32" s="14">
        <v>200</v>
      </c>
      <c r="H32" s="13"/>
      <c r="I32" s="46" t="s">
        <v>13</v>
      </c>
      <c r="J32" s="46" t="s">
        <v>772</v>
      </c>
    </row>
    <row r="33" spans="1:10" ht="19.5" customHeight="1" x14ac:dyDescent="0.25">
      <c r="A33" s="20" t="s">
        <v>805</v>
      </c>
      <c r="B33" s="11"/>
      <c r="C33" s="15" t="s">
        <v>760</v>
      </c>
      <c r="D33" s="39"/>
      <c r="E33" s="13"/>
      <c r="F33" s="13"/>
      <c r="G33" s="14"/>
      <c r="H33" s="13"/>
      <c r="I33" s="46"/>
      <c r="J33" s="46"/>
    </row>
    <row r="34" spans="1:10" ht="19.5" customHeight="1" x14ac:dyDescent="0.25">
      <c r="A34" s="20" t="s">
        <v>812</v>
      </c>
      <c r="B34" s="11">
        <v>44190</v>
      </c>
      <c r="C34" s="15" t="s">
        <v>813</v>
      </c>
      <c r="D34" s="39" t="s">
        <v>814</v>
      </c>
      <c r="E34" s="13" t="s">
        <v>815</v>
      </c>
      <c r="F34" s="13" t="s">
        <v>12</v>
      </c>
      <c r="G34" s="14">
        <f>150*20</f>
        <v>3000</v>
      </c>
      <c r="H34" s="13"/>
      <c r="I34" s="46" t="s">
        <v>13</v>
      </c>
      <c r="J34" s="46" t="s">
        <v>26</v>
      </c>
    </row>
    <row r="35" spans="1:10" ht="19.5" customHeight="1" x14ac:dyDescent="0.25">
      <c r="A35" s="20" t="s">
        <v>816</v>
      </c>
      <c r="B35" s="11">
        <v>44190</v>
      </c>
      <c r="C35" s="15" t="s">
        <v>817</v>
      </c>
      <c r="D35" s="39" t="s">
        <v>818</v>
      </c>
      <c r="E35" s="13" t="s">
        <v>819</v>
      </c>
      <c r="F35" s="13" t="s">
        <v>640</v>
      </c>
      <c r="G35" s="14">
        <f>570*20</f>
        <v>11400</v>
      </c>
      <c r="H35" s="13"/>
      <c r="I35" s="46" t="s">
        <v>13</v>
      </c>
      <c r="J35" s="46" t="s">
        <v>26</v>
      </c>
    </row>
    <row r="36" spans="1:10" ht="19.5" customHeight="1" x14ac:dyDescent="0.25">
      <c r="A36" s="20" t="s">
        <v>820</v>
      </c>
      <c r="B36" s="11">
        <v>44190</v>
      </c>
      <c r="C36" s="34" t="s">
        <v>821</v>
      </c>
      <c r="D36" s="39" t="s">
        <v>822</v>
      </c>
      <c r="E36" s="13" t="s">
        <v>823</v>
      </c>
      <c r="F36" s="13" t="s">
        <v>640</v>
      </c>
      <c r="G36" s="14">
        <f>180*20</f>
        <v>3600</v>
      </c>
      <c r="H36" s="13"/>
      <c r="I36" s="46" t="s">
        <v>13</v>
      </c>
      <c r="J36" s="46" t="s">
        <v>26</v>
      </c>
    </row>
    <row r="37" spans="1:10" ht="75" customHeight="1" x14ac:dyDescent="0.25">
      <c r="A37" s="20" t="s">
        <v>824</v>
      </c>
      <c r="B37" s="11">
        <v>44190</v>
      </c>
      <c r="C37" s="15" t="s">
        <v>825</v>
      </c>
      <c r="D37" s="39" t="s">
        <v>52</v>
      </c>
      <c r="E37" s="13" t="s">
        <v>826</v>
      </c>
      <c r="F37" s="13" t="s">
        <v>12</v>
      </c>
      <c r="G37" s="14">
        <f>33*50</f>
        <v>1650</v>
      </c>
      <c r="H37" s="13"/>
      <c r="I37" s="46" t="s">
        <v>23</v>
      </c>
      <c r="J37" s="46" t="s">
        <v>21</v>
      </c>
    </row>
    <row r="38" spans="1:10" ht="19.5" customHeight="1" x14ac:dyDescent="0.25">
      <c r="A38" s="20" t="s">
        <v>827</v>
      </c>
      <c r="B38" s="11">
        <v>44194</v>
      </c>
      <c r="C38" s="30" t="s">
        <v>828</v>
      </c>
      <c r="D38" s="39" t="s">
        <v>829</v>
      </c>
      <c r="E38" s="13" t="s">
        <v>780</v>
      </c>
      <c r="F38" s="13" t="s">
        <v>830</v>
      </c>
      <c r="G38" s="14">
        <v>0</v>
      </c>
      <c r="H38" s="13"/>
      <c r="I38" s="46" t="s">
        <v>15</v>
      </c>
      <c r="J38" s="46" t="s">
        <v>14</v>
      </c>
    </row>
    <row r="39" spans="1:10" ht="19.5" customHeight="1" x14ac:dyDescent="0.25">
      <c r="A39" s="20" t="s">
        <v>831</v>
      </c>
      <c r="B39" s="11"/>
      <c r="C39" s="15" t="s">
        <v>760</v>
      </c>
      <c r="D39" s="39"/>
      <c r="E39" s="13"/>
      <c r="F39" s="13"/>
      <c r="G39" s="14"/>
      <c r="H39" s="13"/>
      <c r="I39" s="46" t="s">
        <v>13</v>
      </c>
      <c r="J39" s="46" t="s">
        <v>26</v>
      </c>
    </row>
    <row r="40" spans="1:10" ht="36" customHeight="1" x14ac:dyDescent="0.25">
      <c r="A40" s="20" t="s">
        <v>832</v>
      </c>
      <c r="B40" s="11">
        <v>44194</v>
      </c>
      <c r="C40" s="35" t="s">
        <v>834</v>
      </c>
      <c r="D40" s="52" t="s">
        <v>833</v>
      </c>
      <c r="E40" s="13"/>
      <c r="F40" s="13" t="s">
        <v>640</v>
      </c>
      <c r="G40" s="14">
        <f>1000*12</f>
        <v>12000</v>
      </c>
      <c r="H40" s="13"/>
      <c r="I40" s="46" t="s">
        <v>13</v>
      </c>
      <c r="J40" s="46" t="s">
        <v>26</v>
      </c>
    </row>
    <row r="41" spans="1:10" ht="35.25" customHeight="1" x14ac:dyDescent="0.25">
      <c r="A41" s="20" t="s">
        <v>835</v>
      </c>
      <c r="B41" s="11">
        <v>44195</v>
      </c>
      <c r="C41" s="35" t="s">
        <v>836</v>
      </c>
      <c r="D41" s="39" t="s">
        <v>837</v>
      </c>
      <c r="E41" s="13"/>
      <c r="F41" s="13" t="s">
        <v>640</v>
      </c>
      <c r="G41" s="14">
        <f>387*20+40*50</f>
        <v>9740</v>
      </c>
      <c r="H41" s="13"/>
      <c r="I41" s="46" t="s">
        <v>13</v>
      </c>
      <c r="J41" s="46" t="s">
        <v>26</v>
      </c>
    </row>
    <row r="42" spans="1:10" ht="24.75" customHeight="1" x14ac:dyDescent="0.25">
      <c r="A42" s="10"/>
      <c r="B42" s="11"/>
      <c r="C42" s="15"/>
      <c r="D42" s="53"/>
      <c r="E42" s="13"/>
      <c r="F42" s="32" t="s">
        <v>29</v>
      </c>
      <c r="G42" s="33">
        <f>SUM(G4:G41)</f>
        <v>72260</v>
      </c>
      <c r="H42" s="13"/>
      <c r="I42" s="46"/>
      <c r="J42" s="46"/>
    </row>
    <row r="43" spans="1:10" ht="21" customHeight="1" x14ac:dyDescent="0.25">
      <c r="A43" s="23"/>
      <c r="B43" s="24"/>
      <c r="C43" s="25"/>
      <c r="D43" s="51"/>
      <c r="E43" s="27"/>
      <c r="F43" s="27"/>
      <c r="G43" s="28"/>
      <c r="H43" s="27"/>
      <c r="I43" s="38"/>
      <c r="J43" s="38"/>
    </row>
    <row r="44" spans="1:10" ht="19.5" x14ac:dyDescent="0.25">
      <c r="A44" s="17" t="s">
        <v>18</v>
      </c>
      <c r="B44" s="17"/>
      <c r="C44" s="17"/>
      <c r="D44" s="47"/>
      <c r="E44" s="17"/>
      <c r="F44" s="17"/>
      <c r="G44" s="17"/>
      <c r="H44" s="17"/>
      <c r="I44" s="47"/>
      <c r="J44" s="47"/>
    </row>
    <row r="612" spans="4:4" x14ac:dyDescent="0.25">
      <c r="D612" s="1" t="s">
        <v>28</v>
      </c>
    </row>
  </sheetData>
  <mergeCells count="2">
    <mergeCell ref="A1:J1"/>
    <mergeCell ref="A2:J2"/>
  </mergeCells>
  <phoneticPr fontId="4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pane xSplit="2" ySplit="3" topLeftCell="C13" activePane="bottomRight" state="frozen"/>
      <selection pane="topRight" activeCell="C1" sqref="C1"/>
      <selection pane="bottomLeft" activeCell="A5" sqref="A5"/>
      <selection pane="bottomRight" activeCell="E26" sqref="E26"/>
    </sheetView>
  </sheetViews>
  <sheetFormatPr defaultRowHeight="16.5" x14ac:dyDescent="0.25"/>
  <cols>
    <col min="1" max="1" width="9.375" style="2" customWidth="1"/>
    <col min="2" max="2" width="8" style="4" customWidth="1"/>
    <col min="3" max="3" width="22.125" style="1" customWidth="1"/>
    <col min="4" max="4" width="34.375" style="1" customWidth="1"/>
    <col min="5" max="5" width="9.625" style="1" customWidth="1"/>
    <col min="6" max="6" width="10.125" style="3" customWidth="1"/>
    <col min="7" max="7" width="12.125" style="5" customWidth="1"/>
    <col min="8" max="8" width="9" style="3"/>
    <col min="9" max="9" width="16.25" style="1" customWidth="1"/>
    <col min="10" max="10" width="12" style="1" customWidth="1"/>
    <col min="11" max="16384" width="9" style="1"/>
  </cols>
  <sheetData>
    <row r="1" spans="1:10" ht="32.2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7.75" x14ac:dyDescent="0.25">
      <c r="A2" s="70" t="s">
        <v>990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" customFormat="1" ht="21.75" customHeigh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0" ht="25.5" customHeight="1" x14ac:dyDescent="0.25">
      <c r="A4" s="20" t="s">
        <v>989</v>
      </c>
      <c r="B4" s="11">
        <v>43865</v>
      </c>
      <c r="C4" s="39" t="s">
        <v>991</v>
      </c>
      <c r="D4" s="39" t="s">
        <v>992</v>
      </c>
      <c r="E4" s="8"/>
      <c r="F4" s="8" t="s">
        <v>993</v>
      </c>
      <c r="G4" s="14">
        <f>35*5*20+35*2*20</f>
        <v>4900</v>
      </c>
      <c r="H4" s="13"/>
      <c r="I4" s="12" t="s">
        <v>16</v>
      </c>
      <c r="J4" s="46" t="s">
        <v>26</v>
      </c>
    </row>
    <row r="5" spans="1:10" ht="25.5" customHeight="1" x14ac:dyDescent="0.25">
      <c r="A5" s="20" t="s">
        <v>994</v>
      </c>
      <c r="B5" s="11">
        <v>43866</v>
      </c>
      <c r="C5" s="39" t="s">
        <v>269</v>
      </c>
      <c r="D5" s="39" t="s">
        <v>995</v>
      </c>
      <c r="E5" s="8"/>
      <c r="F5" s="8" t="s">
        <v>996</v>
      </c>
      <c r="G5" s="14">
        <f>600*10</f>
        <v>6000</v>
      </c>
      <c r="H5" s="13"/>
      <c r="I5" s="12" t="s">
        <v>13</v>
      </c>
      <c r="J5" s="46" t="s">
        <v>30</v>
      </c>
    </row>
    <row r="6" spans="1:10" ht="25.5" customHeight="1" x14ac:dyDescent="0.25">
      <c r="A6" s="16" t="s">
        <v>997</v>
      </c>
      <c r="B6" s="11">
        <v>43866</v>
      </c>
      <c r="C6" s="39" t="s">
        <v>998</v>
      </c>
      <c r="D6" s="39" t="s">
        <v>846</v>
      </c>
      <c r="E6" s="57" t="s">
        <v>999</v>
      </c>
      <c r="F6" s="8" t="s">
        <v>993</v>
      </c>
      <c r="G6" s="14">
        <f>200*12</f>
        <v>2400</v>
      </c>
      <c r="H6" s="13"/>
      <c r="I6" s="12" t="s">
        <v>13</v>
      </c>
      <c r="J6" s="46" t="s">
        <v>26</v>
      </c>
    </row>
    <row r="7" spans="1:10" ht="25.5" customHeight="1" x14ac:dyDescent="0.25">
      <c r="A7" s="55" t="s">
        <v>1000</v>
      </c>
      <c r="B7" s="40">
        <v>43871</v>
      </c>
      <c r="C7" s="61" t="s">
        <v>1001</v>
      </c>
      <c r="D7" s="39" t="s">
        <v>1002</v>
      </c>
      <c r="E7" s="8"/>
      <c r="F7" s="8" t="s">
        <v>1003</v>
      </c>
      <c r="G7" s="14">
        <v>65000</v>
      </c>
      <c r="H7" s="13"/>
      <c r="I7" s="46" t="s">
        <v>1004</v>
      </c>
      <c r="J7" s="46" t="s">
        <v>1005</v>
      </c>
    </row>
    <row r="8" spans="1:10" ht="52.5" customHeight="1" x14ac:dyDescent="0.25">
      <c r="A8" s="16" t="s">
        <v>1006</v>
      </c>
      <c r="B8" s="11">
        <v>43871</v>
      </c>
      <c r="C8" s="39" t="s">
        <v>1056</v>
      </c>
      <c r="D8" s="39" t="s">
        <v>1007</v>
      </c>
      <c r="E8" s="8"/>
      <c r="F8" s="8" t="s">
        <v>993</v>
      </c>
      <c r="G8" s="14">
        <v>701350</v>
      </c>
      <c r="H8" s="13"/>
      <c r="I8" s="12" t="s">
        <v>1004</v>
      </c>
      <c r="J8" s="46" t="s">
        <v>1005</v>
      </c>
    </row>
    <row r="9" spans="1:10" ht="19.5" x14ac:dyDescent="0.25">
      <c r="A9" s="20" t="s">
        <v>1008</v>
      </c>
      <c r="B9" s="11">
        <v>43873</v>
      </c>
      <c r="C9" s="39" t="s">
        <v>257</v>
      </c>
      <c r="D9" s="39" t="s">
        <v>1009</v>
      </c>
      <c r="E9" s="8"/>
      <c r="F9" s="8" t="s">
        <v>1010</v>
      </c>
      <c r="G9" s="14">
        <f>270*20+12*50</f>
        <v>6000</v>
      </c>
      <c r="H9" s="13"/>
      <c r="I9" s="12" t="s">
        <v>13</v>
      </c>
      <c r="J9" s="46" t="s">
        <v>1013</v>
      </c>
    </row>
    <row r="10" spans="1:10" ht="38.25" customHeight="1" x14ac:dyDescent="0.25">
      <c r="A10" s="20" t="s">
        <v>1011</v>
      </c>
      <c r="B10" s="11">
        <v>43874</v>
      </c>
      <c r="C10" s="39" t="s">
        <v>1055</v>
      </c>
      <c r="D10" s="39" t="s">
        <v>1012</v>
      </c>
      <c r="E10" s="8"/>
      <c r="F10" s="8" t="s">
        <v>993</v>
      </c>
      <c r="G10" s="14">
        <f>6*200+6*200+6*180</f>
        <v>3480</v>
      </c>
      <c r="H10" s="13"/>
      <c r="I10" s="12" t="s">
        <v>1004</v>
      </c>
      <c r="J10" s="46" t="s">
        <v>11</v>
      </c>
    </row>
    <row r="11" spans="1:10" ht="21.75" customHeight="1" x14ac:dyDescent="0.25">
      <c r="A11" s="20" t="s">
        <v>1014</v>
      </c>
      <c r="B11" s="11">
        <v>43875</v>
      </c>
      <c r="C11" s="56" t="s">
        <v>35</v>
      </c>
      <c r="D11" s="39" t="s">
        <v>36</v>
      </c>
      <c r="E11" s="8" t="s">
        <v>1015</v>
      </c>
      <c r="F11" s="8" t="s">
        <v>640</v>
      </c>
      <c r="G11" s="14">
        <f>42*15</f>
        <v>630</v>
      </c>
      <c r="H11" s="13"/>
      <c r="I11" s="12" t="s">
        <v>13</v>
      </c>
      <c r="J11" s="46" t="s">
        <v>853</v>
      </c>
    </row>
    <row r="12" spans="1:10" ht="21.75" customHeight="1" x14ac:dyDescent="0.25">
      <c r="A12" s="16" t="s">
        <v>1016</v>
      </c>
      <c r="B12" s="11">
        <v>43878</v>
      </c>
      <c r="C12" s="39" t="s">
        <v>1017</v>
      </c>
      <c r="D12" s="39" t="s">
        <v>1018</v>
      </c>
      <c r="E12" s="8"/>
      <c r="F12" s="8" t="s">
        <v>640</v>
      </c>
      <c r="G12" s="14">
        <f>30*32*20</f>
        <v>19200</v>
      </c>
      <c r="H12" s="13"/>
      <c r="I12" s="12" t="s">
        <v>13</v>
      </c>
      <c r="J12" s="46" t="s">
        <v>1013</v>
      </c>
    </row>
    <row r="13" spans="1:10" ht="36.75" customHeight="1" x14ac:dyDescent="0.25">
      <c r="A13" s="16" t="s">
        <v>1019</v>
      </c>
      <c r="B13" s="11">
        <v>43879</v>
      </c>
      <c r="C13" s="60" t="s">
        <v>1020</v>
      </c>
      <c r="D13" s="39" t="s">
        <v>1021</v>
      </c>
      <c r="E13" s="8"/>
      <c r="F13" s="8" t="s">
        <v>640</v>
      </c>
      <c r="G13" s="14">
        <f>150*70+150+150</f>
        <v>10800</v>
      </c>
      <c r="H13" s="13"/>
      <c r="I13" s="12" t="s">
        <v>13</v>
      </c>
      <c r="J13" s="46" t="s">
        <v>26</v>
      </c>
    </row>
    <row r="14" spans="1:10" ht="23.25" customHeight="1" x14ac:dyDescent="0.25">
      <c r="A14" s="16" t="s">
        <v>1022</v>
      </c>
      <c r="B14" s="11">
        <v>43879</v>
      </c>
      <c r="C14" s="39" t="s">
        <v>771</v>
      </c>
      <c r="D14" s="39" t="s">
        <v>804</v>
      </c>
      <c r="E14" s="8" t="s">
        <v>780</v>
      </c>
      <c r="F14" s="8" t="s">
        <v>1023</v>
      </c>
      <c r="G14" s="14">
        <v>400</v>
      </c>
      <c r="H14" s="13"/>
      <c r="I14" s="12" t="s">
        <v>13</v>
      </c>
      <c r="J14" s="46" t="s">
        <v>1024</v>
      </c>
    </row>
    <row r="15" spans="1:10" ht="23.25" customHeight="1" x14ac:dyDescent="0.25">
      <c r="A15" s="16" t="s">
        <v>1025</v>
      </c>
      <c r="B15" s="11">
        <v>43882</v>
      </c>
      <c r="C15" s="56" t="s">
        <v>35</v>
      </c>
      <c r="D15" s="39" t="s">
        <v>36</v>
      </c>
      <c r="E15" s="8" t="s">
        <v>1026</v>
      </c>
      <c r="F15" s="8" t="s">
        <v>640</v>
      </c>
      <c r="G15" s="14">
        <f>33*15</f>
        <v>495</v>
      </c>
      <c r="H15" s="13"/>
      <c r="I15" s="12" t="s">
        <v>13</v>
      </c>
      <c r="J15" s="46" t="s">
        <v>21</v>
      </c>
    </row>
    <row r="16" spans="1:10" ht="84.75" customHeight="1" x14ac:dyDescent="0.25">
      <c r="A16" s="16" t="s">
        <v>1027</v>
      </c>
      <c r="B16" s="11">
        <v>43884</v>
      </c>
      <c r="C16" s="39" t="s">
        <v>1028</v>
      </c>
      <c r="D16" s="39" t="s">
        <v>1029</v>
      </c>
      <c r="E16" s="8"/>
      <c r="F16" s="8" t="s">
        <v>53</v>
      </c>
      <c r="G16" s="14">
        <f>3*150+12*10+8*35+2*50+12*10+4*200+5*60+2500</f>
        <v>4670</v>
      </c>
      <c r="H16" s="13"/>
      <c r="I16" s="34" t="s">
        <v>901</v>
      </c>
      <c r="J16" s="46" t="s">
        <v>26</v>
      </c>
    </row>
    <row r="17" spans="1:10" ht="36.75" customHeight="1" x14ac:dyDescent="0.25">
      <c r="A17" s="16" t="s">
        <v>1030</v>
      </c>
      <c r="B17" s="11">
        <v>43886</v>
      </c>
      <c r="C17" s="39" t="s">
        <v>1031</v>
      </c>
      <c r="D17" s="39" t="s">
        <v>1032</v>
      </c>
      <c r="E17" s="8"/>
      <c r="F17" s="8" t="s">
        <v>50</v>
      </c>
      <c r="G17" s="14">
        <f>15*100+10*100+5*100</f>
        <v>3000</v>
      </c>
      <c r="H17" s="13"/>
      <c r="I17" s="12" t="s">
        <v>1037</v>
      </c>
      <c r="J17" s="46" t="s">
        <v>1024</v>
      </c>
    </row>
    <row r="18" spans="1:10" ht="22.5" customHeight="1" x14ac:dyDescent="0.25">
      <c r="A18" s="16" t="s">
        <v>1033</v>
      </c>
      <c r="B18" s="11">
        <v>43886</v>
      </c>
      <c r="C18" s="39" t="s">
        <v>1034</v>
      </c>
      <c r="D18" s="39" t="s">
        <v>1036</v>
      </c>
      <c r="E18" s="8" t="s">
        <v>1035</v>
      </c>
      <c r="F18" s="8" t="s">
        <v>50</v>
      </c>
      <c r="G18" s="14">
        <f>30*100</f>
        <v>3000</v>
      </c>
      <c r="H18" s="13"/>
      <c r="I18" s="12" t="s">
        <v>49</v>
      </c>
      <c r="J18" s="46" t="s">
        <v>48</v>
      </c>
    </row>
    <row r="19" spans="1:10" ht="22.5" customHeight="1" x14ac:dyDescent="0.25">
      <c r="A19" s="16" t="s">
        <v>1038</v>
      </c>
      <c r="B19" s="11">
        <v>43886</v>
      </c>
      <c r="C19" s="39" t="s">
        <v>771</v>
      </c>
      <c r="D19" s="39" t="s">
        <v>804</v>
      </c>
      <c r="E19" s="8" t="s">
        <v>780</v>
      </c>
      <c r="F19" s="8" t="s">
        <v>45</v>
      </c>
      <c r="G19" s="14">
        <v>500</v>
      </c>
      <c r="H19" s="13"/>
      <c r="I19" s="12" t="s">
        <v>13</v>
      </c>
      <c r="J19" s="46" t="s">
        <v>48</v>
      </c>
    </row>
    <row r="20" spans="1:10" ht="22.5" customHeight="1" x14ac:dyDescent="0.25">
      <c r="A20" s="16" t="s">
        <v>1039</v>
      </c>
      <c r="B20" s="11">
        <v>43888</v>
      </c>
      <c r="C20" s="39" t="s">
        <v>1040</v>
      </c>
      <c r="D20" s="39" t="s">
        <v>1041</v>
      </c>
      <c r="E20" s="8" t="s">
        <v>1042</v>
      </c>
      <c r="F20" s="8" t="s">
        <v>1023</v>
      </c>
      <c r="G20" s="14">
        <f>75*20</f>
        <v>1500</v>
      </c>
      <c r="H20" s="13"/>
      <c r="I20" s="12" t="s">
        <v>13</v>
      </c>
      <c r="J20" s="46" t="s">
        <v>21</v>
      </c>
    </row>
    <row r="21" spans="1:10" ht="66" x14ac:dyDescent="0.25">
      <c r="A21" s="16" t="s">
        <v>1043</v>
      </c>
      <c r="B21" s="11">
        <v>43888</v>
      </c>
      <c r="C21" s="39" t="s">
        <v>1044</v>
      </c>
      <c r="D21" s="39" t="s">
        <v>52</v>
      </c>
      <c r="E21" s="8" t="s">
        <v>1045</v>
      </c>
      <c r="F21" s="8" t="s">
        <v>12</v>
      </c>
      <c r="G21" s="14">
        <v>2250</v>
      </c>
      <c r="H21" s="13"/>
      <c r="I21" s="12" t="s">
        <v>13</v>
      </c>
      <c r="J21" s="46" t="s">
        <v>21</v>
      </c>
    </row>
    <row r="22" spans="1:10" ht="21" x14ac:dyDescent="0.25">
      <c r="A22" s="10"/>
      <c r="B22" s="11"/>
      <c r="C22" s="39"/>
      <c r="D22" s="62" t="s">
        <v>19</v>
      </c>
      <c r="E22" s="8"/>
      <c r="F22" s="8"/>
      <c r="G22" s="14">
        <f>SUM(G4:G21)</f>
        <v>835575</v>
      </c>
      <c r="H22" s="13"/>
      <c r="I22" s="12"/>
      <c r="J22" s="46"/>
    </row>
    <row r="24" spans="1:10" ht="19.5" x14ac:dyDescent="0.25">
      <c r="A24" s="18" t="s">
        <v>18</v>
      </c>
      <c r="B24" s="17"/>
      <c r="C24" s="47"/>
      <c r="D24" s="47"/>
      <c r="E24" s="47"/>
      <c r="F24" s="47"/>
      <c r="G24" s="17"/>
      <c r="H24" s="17"/>
      <c r="I24" s="17"/>
      <c r="J24" s="47"/>
    </row>
  </sheetData>
  <mergeCells count="2">
    <mergeCell ref="A1:J1"/>
    <mergeCell ref="A2:J2"/>
  </mergeCells>
  <phoneticPr fontId="4" type="noConversion"/>
  <pageMargins left="0.23622047244094491" right="0.23622047244094491" top="0.3543307086614173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5" workbookViewId="0">
      <selection activeCell="C11" sqref="C11:E11"/>
    </sheetView>
  </sheetViews>
  <sheetFormatPr defaultRowHeight="16.5" x14ac:dyDescent="0.25"/>
  <cols>
    <col min="1" max="1" width="9.375" style="2" customWidth="1"/>
    <col min="2" max="2" width="8.375" style="4" customWidth="1"/>
    <col min="3" max="3" width="21.125" style="1" customWidth="1"/>
    <col min="4" max="4" width="28.75" style="1" customWidth="1"/>
    <col min="5" max="5" width="9.625" style="1" customWidth="1"/>
    <col min="6" max="6" width="9.5" style="3" customWidth="1"/>
    <col min="7" max="7" width="11.5" style="5" customWidth="1"/>
    <col min="8" max="8" width="8.5" style="3" customWidth="1"/>
    <col min="9" max="9" width="14.75" style="1" customWidth="1"/>
    <col min="10" max="10" width="14.125" style="1" customWidth="1"/>
    <col min="11" max="16384" width="9" style="1"/>
  </cols>
  <sheetData>
    <row r="1" spans="1:10" ht="30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7.75" x14ac:dyDescent="0.25">
      <c r="A2" s="70" t="s">
        <v>1046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" customFormat="1" ht="24" customHeight="1" x14ac:dyDescent="0.25">
      <c r="A3" s="64" t="s">
        <v>1</v>
      </c>
      <c r="B3" s="65" t="s">
        <v>2</v>
      </c>
      <c r="C3" s="66" t="s">
        <v>3</v>
      </c>
      <c r="D3" s="66" t="s">
        <v>4</v>
      </c>
      <c r="E3" s="66" t="s">
        <v>5</v>
      </c>
      <c r="F3" s="66" t="s">
        <v>6</v>
      </c>
      <c r="G3" s="67" t="s">
        <v>7</v>
      </c>
      <c r="H3" s="66" t="s">
        <v>8</v>
      </c>
      <c r="I3" s="66" t="s">
        <v>9</v>
      </c>
      <c r="J3" s="66" t="s">
        <v>10</v>
      </c>
    </row>
    <row r="4" spans="1:10" ht="19.5" x14ac:dyDescent="0.25">
      <c r="A4" s="16" t="s">
        <v>1047</v>
      </c>
      <c r="B4" s="11">
        <v>43892</v>
      </c>
      <c r="C4" s="15" t="s">
        <v>1048</v>
      </c>
      <c r="D4" s="15" t="s">
        <v>1049</v>
      </c>
      <c r="E4" s="13" t="s">
        <v>1050</v>
      </c>
      <c r="F4" s="13" t="s">
        <v>1051</v>
      </c>
      <c r="G4" s="14">
        <v>270</v>
      </c>
      <c r="H4" s="13"/>
      <c r="I4" s="12" t="s">
        <v>15</v>
      </c>
      <c r="J4" s="12" t="s">
        <v>1052</v>
      </c>
    </row>
    <row r="5" spans="1:10" ht="21.75" customHeight="1" x14ac:dyDescent="0.25">
      <c r="A5" s="16" t="s">
        <v>1057</v>
      </c>
      <c r="B5" s="11">
        <v>43892</v>
      </c>
      <c r="C5" s="15" t="s">
        <v>1058</v>
      </c>
      <c r="D5" s="15" t="s">
        <v>1059</v>
      </c>
      <c r="E5" s="13" t="s">
        <v>1060</v>
      </c>
      <c r="F5" s="13" t="s">
        <v>640</v>
      </c>
      <c r="G5" s="14">
        <v>150</v>
      </c>
      <c r="H5" s="13"/>
      <c r="I5" s="12" t="s">
        <v>20</v>
      </c>
      <c r="J5" s="46" t="s">
        <v>26</v>
      </c>
    </row>
    <row r="6" spans="1:10" ht="21.75" customHeight="1" x14ac:dyDescent="0.25">
      <c r="A6" s="20" t="s">
        <v>1061</v>
      </c>
      <c r="B6" s="11">
        <v>43894</v>
      </c>
      <c r="C6" s="21" t="s">
        <v>1062</v>
      </c>
      <c r="D6" s="15" t="s">
        <v>1063</v>
      </c>
      <c r="E6" s="13" t="s">
        <v>1064</v>
      </c>
      <c r="F6" s="13" t="s">
        <v>53</v>
      </c>
      <c r="G6" s="14">
        <v>13986</v>
      </c>
      <c r="H6" s="13"/>
      <c r="I6" s="12" t="s">
        <v>15</v>
      </c>
      <c r="J6" s="12" t="s">
        <v>11</v>
      </c>
    </row>
    <row r="7" spans="1:10" ht="36.75" customHeight="1" x14ac:dyDescent="0.25">
      <c r="A7" s="20" t="s">
        <v>1065</v>
      </c>
      <c r="B7" s="11">
        <v>43896</v>
      </c>
      <c r="C7" s="37" t="s">
        <v>35</v>
      </c>
      <c r="D7" s="15" t="s">
        <v>36</v>
      </c>
      <c r="E7" s="13" t="s">
        <v>1066</v>
      </c>
      <c r="F7" s="13" t="s">
        <v>640</v>
      </c>
      <c r="G7" s="14">
        <v>450</v>
      </c>
      <c r="H7" s="13"/>
      <c r="I7" s="12" t="s">
        <v>13</v>
      </c>
      <c r="J7" s="12" t="s">
        <v>21</v>
      </c>
    </row>
    <row r="8" spans="1:10" ht="38.25" customHeight="1" x14ac:dyDescent="0.25">
      <c r="A8" s="20" t="s">
        <v>1067</v>
      </c>
      <c r="B8" s="11">
        <v>43899</v>
      </c>
      <c r="C8" s="15" t="s">
        <v>1068</v>
      </c>
      <c r="D8" s="15" t="s">
        <v>1069</v>
      </c>
      <c r="E8" s="13"/>
      <c r="F8" s="13" t="s">
        <v>640</v>
      </c>
      <c r="G8" s="14">
        <v>9500</v>
      </c>
      <c r="H8" s="13"/>
      <c r="I8" s="12" t="s">
        <v>13</v>
      </c>
      <c r="J8" s="46" t="s">
        <v>26</v>
      </c>
    </row>
    <row r="9" spans="1:10" ht="42" customHeight="1" x14ac:dyDescent="0.25">
      <c r="A9" s="20" t="s">
        <v>1070</v>
      </c>
      <c r="B9" s="11">
        <v>43899</v>
      </c>
      <c r="C9" s="15" t="s">
        <v>1071</v>
      </c>
      <c r="D9" s="15" t="s">
        <v>1072</v>
      </c>
      <c r="E9" s="13"/>
      <c r="F9" s="13" t="s">
        <v>640</v>
      </c>
      <c r="G9" s="14">
        <v>3300</v>
      </c>
      <c r="H9" s="13"/>
      <c r="I9" s="12" t="s">
        <v>13</v>
      </c>
      <c r="J9" s="46" t="s">
        <v>26</v>
      </c>
    </row>
    <row r="10" spans="1:10" ht="39" customHeight="1" x14ac:dyDescent="0.25">
      <c r="A10" s="16" t="s">
        <v>1073</v>
      </c>
      <c r="B10" s="11">
        <v>43900</v>
      </c>
      <c r="C10" s="15" t="s">
        <v>1074</v>
      </c>
      <c r="D10" s="15" t="s">
        <v>1075</v>
      </c>
      <c r="E10" s="13" t="s">
        <v>1076</v>
      </c>
      <c r="F10" s="13" t="s">
        <v>12</v>
      </c>
      <c r="G10" s="14">
        <v>1600</v>
      </c>
      <c r="H10" s="13"/>
      <c r="I10" s="12" t="s">
        <v>1077</v>
      </c>
      <c r="J10" s="12" t="s">
        <v>21</v>
      </c>
    </row>
    <row r="11" spans="1:10" ht="21.75" customHeight="1" x14ac:dyDescent="0.25">
      <c r="A11" s="16" t="s">
        <v>1078</v>
      </c>
      <c r="B11" s="11">
        <v>43900</v>
      </c>
      <c r="C11" s="15" t="s">
        <v>771</v>
      </c>
      <c r="D11" s="15" t="s">
        <v>36</v>
      </c>
      <c r="E11" s="13" t="s">
        <v>1079</v>
      </c>
      <c r="F11" s="13" t="s">
        <v>1080</v>
      </c>
      <c r="G11" s="14">
        <v>400</v>
      </c>
      <c r="H11" s="13"/>
      <c r="I11" s="12" t="s">
        <v>13</v>
      </c>
      <c r="J11" s="12" t="s">
        <v>21</v>
      </c>
    </row>
    <row r="12" spans="1:10" ht="21.75" customHeight="1" x14ac:dyDescent="0.25">
      <c r="A12" s="16" t="s">
        <v>1081</v>
      </c>
      <c r="B12" s="11">
        <v>43908</v>
      </c>
      <c r="C12" s="15" t="s">
        <v>1082</v>
      </c>
      <c r="D12" s="15" t="s">
        <v>1083</v>
      </c>
      <c r="E12" s="13" t="s">
        <v>1084</v>
      </c>
      <c r="F12" s="13" t="s">
        <v>12</v>
      </c>
      <c r="G12" s="14">
        <v>140</v>
      </c>
      <c r="H12" s="13"/>
      <c r="I12" s="12" t="s">
        <v>1077</v>
      </c>
      <c r="J12" s="12" t="s">
        <v>21</v>
      </c>
    </row>
    <row r="13" spans="1:10" ht="82.5" customHeight="1" x14ac:dyDescent="0.25">
      <c r="A13" s="16" t="s">
        <v>1085</v>
      </c>
      <c r="B13" s="11">
        <v>43913</v>
      </c>
      <c r="C13" s="15" t="s">
        <v>1086</v>
      </c>
      <c r="D13" s="15" t="s">
        <v>1087</v>
      </c>
      <c r="E13" s="13"/>
      <c r="F13" s="13" t="s">
        <v>640</v>
      </c>
      <c r="G13" s="14">
        <v>2500</v>
      </c>
      <c r="H13" s="13"/>
      <c r="I13" s="12" t="s">
        <v>13</v>
      </c>
      <c r="J13" s="46" t="s">
        <v>26</v>
      </c>
    </row>
    <row r="14" spans="1:10" ht="39.75" customHeight="1" x14ac:dyDescent="0.25">
      <c r="A14" s="16" t="s">
        <v>1088</v>
      </c>
      <c r="B14" s="11">
        <v>43910</v>
      </c>
      <c r="C14" s="37" t="s">
        <v>35</v>
      </c>
      <c r="D14" s="15" t="s">
        <v>36</v>
      </c>
      <c r="E14" s="13" t="s">
        <v>1089</v>
      </c>
      <c r="F14" s="13" t="s">
        <v>50</v>
      </c>
      <c r="G14" s="14">
        <v>765</v>
      </c>
      <c r="H14" s="13"/>
      <c r="I14" s="12" t="s">
        <v>13</v>
      </c>
      <c r="J14" s="12" t="s">
        <v>21</v>
      </c>
    </row>
    <row r="15" spans="1:10" ht="37.5" customHeight="1" x14ac:dyDescent="0.25">
      <c r="A15" s="16" t="s">
        <v>1090</v>
      </c>
      <c r="B15" s="11">
        <v>43909</v>
      </c>
      <c r="C15" s="15" t="s">
        <v>1091</v>
      </c>
      <c r="D15" s="15" t="s">
        <v>1092</v>
      </c>
      <c r="E15" s="13" t="s">
        <v>1093</v>
      </c>
      <c r="F15" s="13" t="s">
        <v>12</v>
      </c>
      <c r="G15" s="14">
        <v>6000</v>
      </c>
      <c r="H15" s="13"/>
      <c r="I15" s="15" t="s">
        <v>1095</v>
      </c>
      <c r="J15" s="12" t="s">
        <v>1094</v>
      </c>
    </row>
    <row r="16" spans="1:10" ht="21.75" customHeight="1" x14ac:dyDescent="0.25">
      <c r="A16" s="16" t="s">
        <v>1096</v>
      </c>
      <c r="B16" s="11">
        <v>43910</v>
      </c>
      <c r="C16" s="15" t="s">
        <v>1097</v>
      </c>
      <c r="D16" s="15" t="s">
        <v>1098</v>
      </c>
      <c r="E16" s="13">
        <v>525</v>
      </c>
      <c r="F16" s="13" t="s">
        <v>12</v>
      </c>
      <c r="G16" s="14">
        <v>0</v>
      </c>
      <c r="H16" s="13"/>
      <c r="I16" s="13" t="s">
        <v>32</v>
      </c>
      <c r="J16" s="30" t="s">
        <v>33</v>
      </c>
    </row>
    <row r="17" spans="1:10" ht="21.75" customHeight="1" x14ac:dyDescent="0.25">
      <c r="A17" s="16" t="s">
        <v>1099</v>
      </c>
      <c r="B17" s="11">
        <v>43914</v>
      </c>
      <c r="C17" s="15" t="s">
        <v>771</v>
      </c>
      <c r="D17" s="15" t="s">
        <v>36</v>
      </c>
      <c r="E17" s="13" t="s">
        <v>57</v>
      </c>
      <c r="F17" s="13" t="s">
        <v>12</v>
      </c>
      <c r="G17" s="14">
        <v>400</v>
      </c>
      <c r="H17" s="13"/>
      <c r="I17" s="12" t="s">
        <v>13</v>
      </c>
      <c r="J17" s="12" t="s">
        <v>21</v>
      </c>
    </row>
    <row r="18" spans="1:10" ht="37.5" customHeight="1" x14ac:dyDescent="0.25">
      <c r="A18" s="16" t="s">
        <v>1100</v>
      </c>
      <c r="B18" s="11">
        <v>43914</v>
      </c>
      <c r="C18" s="15" t="s">
        <v>1101</v>
      </c>
      <c r="D18" s="15" t="s">
        <v>1102</v>
      </c>
      <c r="E18" s="13" t="s">
        <v>1103</v>
      </c>
      <c r="F18" s="13" t="s">
        <v>1104</v>
      </c>
      <c r="G18" s="14">
        <v>1740</v>
      </c>
      <c r="H18" s="13"/>
      <c r="I18" s="12" t="s">
        <v>13</v>
      </c>
      <c r="J18" s="12" t="s">
        <v>22</v>
      </c>
    </row>
    <row r="19" spans="1:10" ht="19.5" x14ac:dyDescent="0.25">
      <c r="A19" s="16" t="s">
        <v>1105</v>
      </c>
      <c r="B19" s="11"/>
      <c r="C19" s="31" t="s">
        <v>850</v>
      </c>
      <c r="D19" s="15"/>
      <c r="E19" s="13"/>
      <c r="F19" s="13" t="s">
        <v>1104</v>
      </c>
      <c r="G19" s="14"/>
      <c r="H19" s="13"/>
      <c r="I19" s="12" t="s">
        <v>13</v>
      </c>
      <c r="J19" s="12" t="s">
        <v>22</v>
      </c>
    </row>
    <row r="20" spans="1:10" ht="39" x14ac:dyDescent="0.25">
      <c r="A20" s="16" t="s">
        <v>1106</v>
      </c>
      <c r="B20" s="11">
        <v>43914</v>
      </c>
      <c r="C20" s="15" t="s">
        <v>1107</v>
      </c>
      <c r="D20" s="15" t="s">
        <v>1102</v>
      </c>
      <c r="E20" s="13" t="s">
        <v>1108</v>
      </c>
      <c r="F20" s="13" t="s">
        <v>1104</v>
      </c>
      <c r="G20" s="14">
        <v>420</v>
      </c>
      <c r="H20" s="13"/>
      <c r="I20" s="12" t="s">
        <v>13</v>
      </c>
      <c r="J20" s="12" t="s">
        <v>22</v>
      </c>
    </row>
    <row r="21" spans="1:10" ht="58.5" x14ac:dyDescent="0.25">
      <c r="A21" s="16" t="s">
        <v>1109</v>
      </c>
      <c r="B21" s="11">
        <v>43914</v>
      </c>
      <c r="C21" s="15" t="s">
        <v>1110</v>
      </c>
      <c r="D21" s="15" t="s">
        <v>1102</v>
      </c>
      <c r="E21" s="13" t="s">
        <v>1111</v>
      </c>
      <c r="F21" s="13" t="s">
        <v>1104</v>
      </c>
      <c r="G21" s="14">
        <v>840</v>
      </c>
      <c r="H21" s="13"/>
      <c r="I21" s="12" t="s">
        <v>13</v>
      </c>
      <c r="J21" s="12" t="s">
        <v>22</v>
      </c>
    </row>
    <row r="22" spans="1:10" ht="58.5" x14ac:dyDescent="0.25">
      <c r="A22" s="16" t="s">
        <v>1112</v>
      </c>
      <c r="B22" s="11">
        <v>43914</v>
      </c>
      <c r="C22" s="15" t="s">
        <v>1113</v>
      </c>
      <c r="D22" s="15" t="s">
        <v>1102</v>
      </c>
      <c r="E22" s="13" t="s">
        <v>1114</v>
      </c>
      <c r="F22" s="13" t="s">
        <v>1104</v>
      </c>
      <c r="G22" s="14">
        <v>960</v>
      </c>
      <c r="H22" s="13"/>
      <c r="I22" s="12" t="s">
        <v>13</v>
      </c>
      <c r="J22" s="12" t="s">
        <v>22</v>
      </c>
    </row>
    <row r="23" spans="1:10" ht="39" x14ac:dyDescent="0.25">
      <c r="A23" s="16" t="s">
        <v>1115</v>
      </c>
      <c r="B23" s="11">
        <v>43914</v>
      </c>
      <c r="C23" s="15" t="s">
        <v>1116</v>
      </c>
      <c r="D23" s="15" t="s">
        <v>1102</v>
      </c>
      <c r="E23" s="13" t="s">
        <v>1108</v>
      </c>
      <c r="F23" s="13" t="s">
        <v>1104</v>
      </c>
      <c r="G23" s="14">
        <v>420</v>
      </c>
      <c r="H23" s="13"/>
      <c r="I23" s="12" t="s">
        <v>13</v>
      </c>
      <c r="J23" s="12" t="s">
        <v>22</v>
      </c>
    </row>
    <row r="24" spans="1:10" ht="21.75" customHeight="1" x14ac:dyDescent="0.25">
      <c r="A24" s="10" t="s">
        <v>1117</v>
      </c>
      <c r="B24" s="11">
        <v>43914</v>
      </c>
      <c r="C24" s="15" t="s">
        <v>1118</v>
      </c>
      <c r="D24" s="15" t="s">
        <v>1102</v>
      </c>
      <c r="E24" s="13" t="s">
        <v>1119</v>
      </c>
      <c r="F24" s="13" t="s">
        <v>1104</v>
      </c>
      <c r="G24" s="14">
        <v>840</v>
      </c>
      <c r="H24" s="13"/>
      <c r="I24" s="12" t="s">
        <v>13</v>
      </c>
      <c r="J24" s="12" t="s">
        <v>22</v>
      </c>
    </row>
    <row r="25" spans="1:10" ht="39" customHeight="1" x14ac:dyDescent="0.25">
      <c r="A25" s="10" t="s">
        <v>1120</v>
      </c>
      <c r="B25" s="11">
        <v>43914</v>
      </c>
      <c r="C25" s="15" t="s">
        <v>1121</v>
      </c>
      <c r="D25" s="15" t="s">
        <v>1102</v>
      </c>
      <c r="E25" s="13" t="s">
        <v>1122</v>
      </c>
      <c r="F25" s="13" t="s">
        <v>1104</v>
      </c>
      <c r="G25" s="14">
        <v>600</v>
      </c>
      <c r="H25" s="13"/>
      <c r="I25" s="12" t="s">
        <v>13</v>
      </c>
      <c r="J25" s="12" t="s">
        <v>22</v>
      </c>
    </row>
    <row r="26" spans="1:10" ht="37.5" customHeight="1" x14ac:dyDescent="0.25">
      <c r="A26" s="10" t="s">
        <v>1123</v>
      </c>
      <c r="B26" s="11">
        <v>43914</v>
      </c>
      <c r="C26" s="15" t="s">
        <v>1124</v>
      </c>
      <c r="D26" s="15" t="s">
        <v>1102</v>
      </c>
      <c r="E26" s="13" t="s">
        <v>1108</v>
      </c>
      <c r="F26" s="13" t="s">
        <v>1104</v>
      </c>
      <c r="G26" s="14">
        <v>420</v>
      </c>
      <c r="H26" s="13"/>
      <c r="I26" s="12" t="s">
        <v>13</v>
      </c>
      <c r="J26" s="12" t="s">
        <v>22</v>
      </c>
    </row>
    <row r="27" spans="1:10" ht="60.75" customHeight="1" x14ac:dyDescent="0.25">
      <c r="A27" s="10" t="s">
        <v>1125</v>
      </c>
      <c r="B27" s="11">
        <v>43914</v>
      </c>
      <c r="C27" s="15" t="s">
        <v>1126</v>
      </c>
      <c r="D27" s="15" t="s">
        <v>1102</v>
      </c>
      <c r="E27" s="13" t="s">
        <v>1111</v>
      </c>
      <c r="F27" s="13" t="s">
        <v>1104</v>
      </c>
      <c r="G27" s="14">
        <v>840</v>
      </c>
      <c r="H27" s="13"/>
      <c r="I27" s="12" t="s">
        <v>13</v>
      </c>
      <c r="J27" s="12" t="s">
        <v>22</v>
      </c>
    </row>
    <row r="28" spans="1:10" ht="27.75" customHeight="1" x14ac:dyDescent="0.25">
      <c r="A28" s="10" t="s">
        <v>1127</v>
      </c>
      <c r="B28" s="11">
        <v>43914</v>
      </c>
      <c r="C28" s="15" t="s">
        <v>1128</v>
      </c>
      <c r="D28" s="15" t="s">
        <v>1102</v>
      </c>
      <c r="E28" s="13" t="s">
        <v>1111</v>
      </c>
      <c r="F28" s="13" t="s">
        <v>1104</v>
      </c>
      <c r="G28" s="14">
        <v>840</v>
      </c>
      <c r="H28" s="13"/>
      <c r="I28" s="12" t="s">
        <v>13</v>
      </c>
      <c r="J28" s="12" t="s">
        <v>22</v>
      </c>
    </row>
    <row r="29" spans="1:10" ht="39" x14ac:dyDescent="0.25">
      <c r="A29" s="10" t="s">
        <v>1129</v>
      </c>
      <c r="B29" s="11">
        <v>43914</v>
      </c>
      <c r="C29" s="15" t="s">
        <v>1130</v>
      </c>
      <c r="D29" s="15" t="s">
        <v>1102</v>
      </c>
      <c r="E29" s="19" t="s">
        <v>1131</v>
      </c>
      <c r="F29" s="13" t="s">
        <v>1104</v>
      </c>
      <c r="G29" s="14">
        <v>600</v>
      </c>
      <c r="H29" s="13"/>
      <c r="I29" s="12" t="s">
        <v>13</v>
      </c>
      <c r="J29" s="12" t="s">
        <v>22</v>
      </c>
    </row>
    <row r="30" spans="1:10" ht="21.75" customHeight="1" x14ac:dyDescent="0.25">
      <c r="A30" s="10" t="s">
        <v>1132</v>
      </c>
      <c r="B30" s="11">
        <v>43914</v>
      </c>
      <c r="C30" s="15" t="s">
        <v>1133</v>
      </c>
      <c r="D30" s="15" t="s">
        <v>1102</v>
      </c>
      <c r="E30" s="19" t="s">
        <v>1108</v>
      </c>
      <c r="F30" s="13" t="s">
        <v>1104</v>
      </c>
      <c r="G30" s="14">
        <v>420</v>
      </c>
      <c r="H30" s="13"/>
      <c r="I30" s="12" t="s">
        <v>13</v>
      </c>
      <c r="J30" s="12" t="s">
        <v>22</v>
      </c>
    </row>
    <row r="31" spans="1:10" ht="19.5" x14ac:dyDescent="0.25">
      <c r="A31" s="10" t="s">
        <v>1134</v>
      </c>
      <c r="B31" s="11">
        <v>43915</v>
      </c>
      <c r="C31" s="15" t="s">
        <v>269</v>
      </c>
      <c r="D31" s="15" t="s">
        <v>1135</v>
      </c>
      <c r="E31" s="19" t="s">
        <v>1136</v>
      </c>
      <c r="F31" s="13" t="s">
        <v>640</v>
      </c>
      <c r="G31" s="14">
        <v>2500</v>
      </c>
      <c r="H31" s="13"/>
      <c r="I31" s="12" t="s">
        <v>13</v>
      </c>
      <c r="J31" s="12" t="s">
        <v>48</v>
      </c>
    </row>
    <row r="32" spans="1:10" ht="82.5" x14ac:dyDescent="0.25">
      <c r="A32" s="10" t="s">
        <v>1137</v>
      </c>
      <c r="B32" s="11">
        <v>43916</v>
      </c>
      <c r="C32" s="39" t="s">
        <v>1138</v>
      </c>
      <c r="D32" s="15" t="s">
        <v>52</v>
      </c>
      <c r="E32" s="13" t="s">
        <v>1139</v>
      </c>
      <c r="F32" s="13" t="s">
        <v>12</v>
      </c>
      <c r="G32" s="14">
        <v>2350</v>
      </c>
      <c r="H32" s="13"/>
      <c r="I32" s="12" t="s">
        <v>13</v>
      </c>
      <c r="J32" s="12" t="s">
        <v>48</v>
      </c>
    </row>
    <row r="33" spans="1:10" ht="39" x14ac:dyDescent="0.25">
      <c r="A33" s="10" t="s">
        <v>1140</v>
      </c>
      <c r="B33" s="11">
        <v>43916</v>
      </c>
      <c r="C33" s="37" t="s">
        <v>1141</v>
      </c>
      <c r="D33" s="15" t="s">
        <v>1142</v>
      </c>
      <c r="E33" s="19" t="s">
        <v>1143</v>
      </c>
      <c r="F33" s="13" t="s">
        <v>1144</v>
      </c>
      <c r="G33" s="14">
        <v>6000</v>
      </c>
      <c r="H33" s="13"/>
      <c r="I33" s="12" t="s">
        <v>13</v>
      </c>
      <c r="J33" s="12" t="s">
        <v>22</v>
      </c>
    </row>
    <row r="34" spans="1:10" ht="39" x14ac:dyDescent="0.25">
      <c r="A34" s="10" t="s">
        <v>1145</v>
      </c>
      <c r="B34" s="11">
        <v>43917</v>
      </c>
      <c r="C34" s="37" t="s">
        <v>35</v>
      </c>
      <c r="D34" s="15" t="s">
        <v>36</v>
      </c>
      <c r="E34" s="13" t="s">
        <v>1146</v>
      </c>
      <c r="F34" s="13" t="s">
        <v>640</v>
      </c>
      <c r="G34" s="14">
        <v>1020</v>
      </c>
      <c r="H34" s="13"/>
      <c r="I34" s="12" t="s">
        <v>13</v>
      </c>
      <c r="J34" s="12" t="s">
        <v>21</v>
      </c>
    </row>
    <row r="35" spans="1:10" ht="19.5" x14ac:dyDescent="0.25">
      <c r="A35" s="10" t="s">
        <v>1147</v>
      </c>
      <c r="B35" s="11">
        <v>43921</v>
      </c>
      <c r="C35" s="37" t="s">
        <v>1148</v>
      </c>
      <c r="D35" s="15" t="s">
        <v>17</v>
      </c>
      <c r="E35" s="19" t="s">
        <v>1149</v>
      </c>
      <c r="F35" s="13" t="s">
        <v>12</v>
      </c>
      <c r="G35" s="14">
        <v>1200</v>
      </c>
      <c r="H35" s="13"/>
      <c r="I35" s="12" t="s">
        <v>13</v>
      </c>
      <c r="J35" s="12" t="s">
        <v>22</v>
      </c>
    </row>
    <row r="36" spans="1:10" ht="21" customHeight="1" x14ac:dyDescent="0.25">
      <c r="A36" s="10"/>
      <c r="B36" s="11"/>
      <c r="C36" s="15"/>
      <c r="D36" s="62" t="s">
        <v>19</v>
      </c>
      <c r="E36" s="13"/>
      <c r="F36" s="13"/>
      <c r="G36" s="14">
        <f>SUM(G4:G35)</f>
        <v>61471</v>
      </c>
      <c r="H36" s="13"/>
      <c r="I36" s="12"/>
      <c r="J36" s="12"/>
    </row>
    <row r="38" spans="1:10" ht="19.5" x14ac:dyDescent="0.25">
      <c r="A38" s="17" t="s">
        <v>18</v>
      </c>
      <c r="B38" s="17"/>
      <c r="C38" s="17"/>
      <c r="D38" s="17"/>
      <c r="E38" s="17"/>
      <c r="F38" s="17"/>
      <c r="G38" s="17"/>
      <c r="H38" s="17"/>
      <c r="I38" s="17"/>
      <c r="J38" s="17"/>
    </row>
  </sheetData>
  <mergeCells count="2">
    <mergeCell ref="A1:J1"/>
    <mergeCell ref="A2:J2"/>
  </mergeCells>
  <phoneticPr fontId="4" type="noConversion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4" sqref="A4:XFD4"/>
    </sheetView>
  </sheetViews>
  <sheetFormatPr defaultRowHeight="16.5" x14ac:dyDescent="0.25"/>
  <cols>
    <col min="1" max="1" width="9.375" style="2" customWidth="1"/>
    <col min="2" max="2" width="8.375" style="4" customWidth="1"/>
    <col min="3" max="3" width="19.375" style="1" customWidth="1"/>
    <col min="4" max="4" width="28" style="1" customWidth="1"/>
    <col min="5" max="5" width="10.75" style="1" customWidth="1"/>
    <col min="6" max="6" width="9.5" style="3" customWidth="1"/>
    <col min="7" max="7" width="11.5" style="5" customWidth="1"/>
    <col min="8" max="8" width="8.5" style="3" customWidth="1"/>
    <col min="9" max="9" width="17.125" style="1" customWidth="1"/>
    <col min="10" max="10" width="12.625" style="1" customWidth="1"/>
    <col min="11" max="16384" width="9" style="1"/>
  </cols>
  <sheetData>
    <row r="1" spans="1:10" ht="2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1" x14ac:dyDescent="0.25">
      <c r="A2" s="71" t="s">
        <v>1150</v>
      </c>
      <c r="B2" s="71"/>
      <c r="C2" s="71"/>
      <c r="D2" s="71"/>
      <c r="E2" s="71"/>
      <c r="F2" s="71"/>
      <c r="G2" s="71"/>
      <c r="H2" s="71"/>
      <c r="I2" s="71"/>
      <c r="J2" s="71"/>
    </row>
    <row r="4" spans="1:10" s="3" customFormat="1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9</v>
      </c>
      <c r="J4" s="8" t="s">
        <v>10</v>
      </c>
    </row>
    <row r="5" spans="1:10" ht="19.5" x14ac:dyDescent="0.25">
      <c r="A5" s="16" t="s">
        <v>1151</v>
      </c>
      <c r="B5" s="11">
        <v>43927</v>
      </c>
      <c r="C5" s="15" t="s">
        <v>1152</v>
      </c>
      <c r="D5" s="15" t="s">
        <v>1153</v>
      </c>
      <c r="E5" s="13" t="s">
        <v>1154</v>
      </c>
      <c r="F5" s="13" t="s">
        <v>1155</v>
      </c>
      <c r="G5" s="14">
        <v>1080</v>
      </c>
      <c r="H5" s="13"/>
      <c r="I5" s="12" t="s">
        <v>15</v>
      </c>
      <c r="J5" s="12" t="s">
        <v>1156</v>
      </c>
    </row>
    <row r="6" spans="1:10" ht="19.5" x14ac:dyDescent="0.25">
      <c r="A6" s="16" t="s">
        <v>1157</v>
      </c>
      <c r="B6" s="11">
        <v>43929</v>
      </c>
      <c r="C6" s="15" t="s">
        <v>1158</v>
      </c>
      <c r="D6" s="15" t="s">
        <v>1159</v>
      </c>
      <c r="E6" s="13" t="s">
        <v>1160</v>
      </c>
      <c r="F6" s="13" t="s">
        <v>1161</v>
      </c>
      <c r="G6" s="14">
        <v>450</v>
      </c>
      <c r="H6" s="13"/>
      <c r="I6" s="12" t="s">
        <v>13</v>
      </c>
      <c r="J6" s="12" t="s">
        <v>1162</v>
      </c>
    </row>
    <row r="7" spans="1:10" ht="19.5" x14ac:dyDescent="0.25">
      <c r="A7" s="20" t="s">
        <v>1163</v>
      </c>
      <c r="B7" s="11">
        <v>43929</v>
      </c>
      <c r="C7" s="15" t="s">
        <v>1164</v>
      </c>
      <c r="D7" s="15" t="s">
        <v>1165</v>
      </c>
      <c r="E7" s="13" t="s">
        <v>1166</v>
      </c>
      <c r="F7" s="13" t="s">
        <v>1155</v>
      </c>
      <c r="G7" s="14">
        <v>1000</v>
      </c>
      <c r="H7" s="13"/>
      <c r="I7" s="12" t="s">
        <v>1170</v>
      </c>
      <c r="J7" s="12" t="s">
        <v>1167</v>
      </c>
    </row>
    <row r="8" spans="1:10" ht="39" x14ac:dyDescent="0.25">
      <c r="A8" s="20" t="s">
        <v>1168</v>
      </c>
      <c r="B8" s="11">
        <v>43931</v>
      </c>
      <c r="C8" s="15" t="s">
        <v>1169</v>
      </c>
      <c r="D8" s="15" t="s">
        <v>1171</v>
      </c>
      <c r="E8" s="13"/>
      <c r="F8" s="13" t="s">
        <v>1155</v>
      </c>
      <c r="G8" s="14">
        <v>770</v>
      </c>
      <c r="H8" s="13"/>
      <c r="I8" s="12" t="s">
        <v>15</v>
      </c>
      <c r="J8" s="12" t="s">
        <v>1167</v>
      </c>
    </row>
    <row r="9" spans="1:10" ht="59.25" customHeight="1" x14ac:dyDescent="0.25">
      <c r="A9" s="20" t="s">
        <v>1172</v>
      </c>
      <c r="B9" s="11">
        <v>43931</v>
      </c>
      <c r="C9" s="15" t="s">
        <v>1173</v>
      </c>
      <c r="D9" s="15" t="s">
        <v>1174</v>
      </c>
      <c r="E9" s="13"/>
      <c r="F9" s="13" t="s">
        <v>1155</v>
      </c>
      <c r="G9" s="14">
        <v>3500</v>
      </c>
      <c r="H9" s="13"/>
      <c r="I9" s="12" t="s">
        <v>15</v>
      </c>
      <c r="J9" s="12" t="s">
        <v>1167</v>
      </c>
    </row>
    <row r="10" spans="1:10" ht="39" x14ac:dyDescent="0.25">
      <c r="A10" s="16" t="s">
        <v>1175</v>
      </c>
      <c r="B10" s="11">
        <v>43931</v>
      </c>
      <c r="C10" s="15" t="s">
        <v>1176</v>
      </c>
      <c r="D10" s="15" t="s">
        <v>1177</v>
      </c>
      <c r="E10" s="13"/>
      <c r="F10" s="13" t="s">
        <v>1178</v>
      </c>
      <c r="G10" s="14">
        <v>500</v>
      </c>
      <c r="H10" s="13"/>
      <c r="I10" s="15" t="s">
        <v>1179</v>
      </c>
      <c r="J10" s="12" t="s">
        <v>14</v>
      </c>
    </row>
    <row r="11" spans="1:10" ht="19.5" x14ac:dyDescent="0.25">
      <c r="A11" s="16" t="s">
        <v>1180</v>
      </c>
      <c r="B11" s="11">
        <v>43931</v>
      </c>
      <c r="C11" s="15" t="s">
        <v>1176</v>
      </c>
      <c r="D11" s="15" t="s">
        <v>1181</v>
      </c>
      <c r="E11" s="13" t="s">
        <v>1182</v>
      </c>
      <c r="F11" s="13" t="s">
        <v>1178</v>
      </c>
      <c r="G11" s="14">
        <v>300</v>
      </c>
      <c r="H11" s="13"/>
      <c r="I11" s="12" t="s">
        <v>15</v>
      </c>
      <c r="J11" s="12" t="s">
        <v>14</v>
      </c>
    </row>
    <row r="12" spans="1:10" ht="78" x14ac:dyDescent="0.25">
      <c r="A12" s="16" t="s">
        <v>1183</v>
      </c>
      <c r="B12" s="11">
        <v>43931</v>
      </c>
      <c r="C12" s="15" t="s">
        <v>1176</v>
      </c>
      <c r="D12" s="15" t="s">
        <v>1184</v>
      </c>
      <c r="E12" s="13"/>
      <c r="F12" s="13" t="s">
        <v>1178</v>
      </c>
      <c r="G12" s="14">
        <v>3000</v>
      </c>
      <c r="H12" s="13"/>
      <c r="I12" s="12" t="s">
        <v>1197</v>
      </c>
      <c r="J12" s="12" t="s">
        <v>14</v>
      </c>
    </row>
    <row r="13" spans="1:10" ht="39" x14ac:dyDescent="0.25">
      <c r="A13" s="16" t="s">
        <v>1185</v>
      </c>
      <c r="B13" s="11">
        <v>43931</v>
      </c>
      <c r="C13" s="37" t="s">
        <v>35</v>
      </c>
      <c r="D13" s="15" t="s">
        <v>36</v>
      </c>
      <c r="E13" s="13" t="s">
        <v>1186</v>
      </c>
      <c r="F13" s="13" t="s">
        <v>640</v>
      </c>
      <c r="G13" s="14">
        <v>1095</v>
      </c>
      <c r="H13" s="13"/>
      <c r="I13" s="12" t="s">
        <v>13</v>
      </c>
      <c r="J13" s="12" t="s">
        <v>1187</v>
      </c>
    </row>
    <row r="14" spans="1:10" ht="19.5" x14ac:dyDescent="0.25">
      <c r="A14" s="16" t="s">
        <v>1188</v>
      </c>
      <c r="B14" s="11">
        <v>43932</v>
      </c>
      <c r="C14" s="15" t="s">
        <v>1189</v>
      </c>
      <c r="D14" s="15" t="s">
        <v>1191</v>
      </c>
      <c r="E14" s="13" t="s">
        <v>1190</v>
      </c>
      <c r="F14" s="13" t="s">
        <v>1192</v>
      </c>
      <c r="G14" s="14">
        <v>750</v>
      </c>
      <c r="H14" s="13"/>
      <c r="I14" s="12" t="s">
        <v>13</v>
      </c>
      <c r="J14" s="12" t="s">
        <v>1187</v>
      </c>
    </row>
    <row r="15" spans="1:10" ht="78" x14ac:dyDescent="0.25">
      <c r="A15" s="16" t="s">
        <v>1193</v>
      </c>
      <c r="B15" s="11">
        <v>43934</v>
      </c>
      <c r="C15" s="15" t="s">
        <v>1194</v>
      </c>
      <c r="D15" s="15" t="s">
        <v>1195</v>
      </c>
      <c r="E15" s="13"/>
      <c r="F15" s="13" t="s">
        <v>1196</v>
      </c>
      <c r="G15" s="14">
        <v>2000</v>
      </c>
      <c r="H15" s="13"/>
      <c r="I15" s="12" t="s">
        <v>1197</v>
      </c>
      <c r="J15" s="12" t="s">
        <v>22</v>
      </c>
    </row>
    <row r="16" spans="1:10" ht="19.5" x14ac:dyDescent="0.25">
      <c r="A16" s="16" t="s">
        <v>1198</v>
      </c>
      <c r="B16" s="11">
        <v>43937</v>
      </c>
      <c r="C16" s="15" t="s">
        <v>1199</v>
      </c>
      <c r="D16" s="15" t="s">
        <v>1200</v>
      </c>
      <c r="E16" s="13" t="s">
        <v>1201</v>
      </c>
      <c r="F16" s="13" t="s">
        <v>1202</v>
      </c>
      <c r="G16" s="14">
        <v>1200</v>
      </c>
      <c r="H16" s="13"/>
      <c r="I16" s="12" t="s">
        <v>13</v>
      </c>
      <c r="J16" s="12" t="s">
        <v>22</v>
      </c>
    </row>
    <row r="17" spans="1:10" ht="19.5" customHeight="1" x14ac:dyDescent="0.25">
      <c r="A17" s="16" t="s">
        <v>1203</v>
      </c>
      <c r="B17" s="11">
        <v>43936</v>
      </c>
      <c r="C17" s="15" t="s">
        <v>1204</v>
      </c>
      <c r="D17" s="15" t="s">
        <v>1205</v>
      </c>
      <c r="E17" s="13" t="s">
        <v>1206</v>
      </c>
      <c r="F17" s="13" t="s">
        <v>12</v>
      </c>
      <c r="G17" s="14">
        <v>0</v>
      </c>
      <c r="H17" s="13"/>
      <c r="I17" s="8" t="s">
        <v>32</v>
      </c>
      <c r="J17" s="50" t="s">
        <v>33</v>
      </c>
    </row>
    <row r="18" spans="1:10" ht="38.25" customHeight="1" x14ac:dyDescent="0.25">
      <c r="A18" s="16" t="s">
        <v>1207</v>
      </c>
      <c r="B18" s="11">
        <v>43936</v>
      </c>
      <c r="C18" s="15" t="s">
        <v>1208</v>
      </c>
      <c r="D18" s="15" t="s">
        <v>1205</v>
      </c>
      <c r="E18" s="13" t="s">
        <v>1209</v>
      </c>
      <c r="F18" s="13" t="s">
        <v>12</v>
      </c>
      <c r="G18" s="14">
        <v>0</v>
      </c>
      <c r="H18" s="13"/>
      <c r="I18" s="8" t="s">
        <v>32</v>
      </c>
      <c r="J18" s="50" t="s">
        <v>33</v>
      </c>
    </row>
    <row r="19" spans="1:10" ht="38.25" customHeight="1" x14ac:dyDescent="0.25">
      <c r="A19" s="16" t="s">
        <v>1210</v>
      </c>
      <c r="B19" s="11">
        <v>43936</v>
      </c>
      <c r="C19" s="15" t="s">
        <v>1211</v>
      </c>
      <c r="D19" s="15" t="s">
        <v>1205</v>
      </c>
      <c r="E19" s="13" t="s">
        <v>1212</v>
      </c>
      <c r="F19" s="13" t="s">
        <v>12</v>
      </c>
      <c r="G19" s="14">
        <v>0</v>
      </c>
      <c r="H19" s="13"/>
      <c r="I19" s="8" t="s">
        <v>32</v>
      </c>
      <c r="J19" s="50" t="s">
        <v>33</v>
      </c>
    </row>
    <row r="20" spans="1:10" ht="39" x14ac:dyDescent="0.25">
      <c r="A20" s="16" t="s">
        <v>1213</v>
      </c>
      <c r="B20" s="11">
        <v>43936</v>
      </c>
      <c r="C20" s="15" t="s">
        <v>1214</v>
      </c>
      <c r="D20" s="15" t="s">
        <v>56</v>
      </c>
      <c r="E20" s="13" t="s">
        <v>1215</v>
      </c>
      <c r="F20" s="13" t="s">
        <v>12</v>
      </c>
      <c r="G20" s="14">
        <v>0</v>
      </c>
      <c r="H20" s="13"/>
      <c r="I20" s="8" t="s">
        <v>32</v>
      </c>
      <c r="J20" s="50" t="s">
        <v>33</v>
      </c>
    </row>
    <row r="21" spans="1:10" ht="19.5" x14ac:dyDescent="0.25">
      <c r="A21" s="16" t="s">
        <v>1216</v>
      </c>
      <c r="B21" s="11">
        <v>43936</v>
      </c>
      <c r="C21" s="15" t="s">
        <v>1217</v>
      </c>
      <c r="D21" s="15" t="s">
        <v>56</v>
      </c>
      <c r="E21" s="13" t="s">
        <v>1218</v>
      </c>
      <c r="F21" s="13" t="s">
        <v>12</v>
      </c>
      <c r="G21" s="14">
        <v>0</v>
      </c>
      <c r="H21" s="13"/>
      <c r="I21" s="8" t="s">
        <v>32</v>
      </c>
      <c r="J21" s="50" t="s">
        <v>33</v>
      </c>
    </row>
    <row r="22" spans="1:10" ht="39" x14ac:dyDescent="0.25">
      <c r="A22" s="16" t="s">
        <v>1219</v>
      </c>
      <c r="B22" s="11">
        <v>43938</v>
      </c>
      <c r="C22" s="37" t="s">
        <v>35</v>
      </c>
      <c r="D22" s="15" t="s">
        <v>36</v>
      </c>
      <c r="E22" s="13" t="s">
        <v>1220</v>
      </c>
      <c r="F22" s="13" t="s">
        <v>1221</v>
      </c>
      <c r="G22" s="14">
        <v>810</v>
      </c>
      <c r="H22" s="13"/>
      <c r="I22" s="12" t="s">
        <v>13</v>
      </c>
      <c r="J22" s="12" t="s">
        <v>21</v>
      </c>
    </row>
    <row r="23" spans="1:10" ht="19.5" x14ac:dyDescent="0.25">
      <c r="A23" s="16" t="s">
        <v>1222</v>
      </c>
      <c r="B23" s="11">
        <v>43940</v>
      </c>
      <c r="C23" s="15" t="s">
        <v>1223</v>
      </c>
      <c r="D23" s="15" t="s">
        <v>1224</v>
      </c>
      <c r="E23" s="13"/>
      <c r="F23" s="13" t="s">
        <v>1225</v>
      </c>
      <c r="G23" s="14">
        <v>3200</v>
      </c>
      <c r="H23" s="13"/>
      <c r="I23" s="12" t="s">
        <v>1318</v>
      </c>
      <c r="J23" s="12" t="s">
        <v>22</v>
      </c>
    </row>
    <row r="24" spans="1:10" ht="39" x14ac:dyDescent="0.25">
      <c r="A24" s="68" t="s">
        <v>1226</v>
      </c>
      <c r="B24" s="11">
        <v>43942</v>
      </c>
      <c r="C24" s="15" t="s">
        <v>1227</v>
      </c>
      <c r="D24" s="15" t="s">
        <v>1228</v>
      </c>
      <c r="E24" s="13"/>
      <c r="F24" s="13" t="s">
        <v>12</v>
      </c>
      <c r="G24" s="14">
        <v>2200</v>
      </c>
      <c r="H24" s="13"/>
      <c r="I24" s="12" t="s">
        <v>13</v>
      </c>
      <c r="J24" s="12" t="s">
        <v>22</v>
      </c>
    </row>
    <row r="25" spans="1:10" ht="39" x14ac:dyDescent="0.25">
      <c r="A25" s="16" t="s">
        <v>1229</v>
      </c>
      <c r="B25" s="11">
        <v>43942</v>
      </c>
      <c r="C25" s="15" t="s">
        <v>771</v>
      </c>
      <c r="D25" s="15" t="s">
        <v>1231</v>
      </c>
      <c r="E25" s="13" t="s">
        <v>57</v>
      </c>
      <c r="F25" s="13" t="s">
        <v>1230</v>
      </c>
      <c r="G25" s="14">
        <v>400</v>
      </c>
      <c r="H25" s="13"/>
      <c r="I25" s="12" t="s">
        <v>13</v>
      </c>
      <c r="J25" s="12" t="s">
        <v>21</v>
      </c>
    </row>
    <row r="26" spans="1:10" ht="19.5" x14ac:dyDescent="0.25">
      <c r="A26" s="16" t="s">
        <v>1232</v>
      </c>
      <c r="B26" s="11">
        <v>43943</v>
      </c>
      <c r="C26" s="15" t="s">
        <v>1233</v>
      </c>
      <c r="D26" s="15" t="s">
        <v>1234</v>
      </c>
      <c r="E26" s="13" t="s">
        <v>1235</v>
      </c>
      <c r="F26" s="13" t="s">
        <v>53</v>
      </c>
      <c r="G26" s="14">
        <v>1400</v>
      </c>
      <c r="H26" s="13"/>
      <c r="I26" s="12" t="s">
        <v>13</v>
      </c>
      <c r="J26" s="12">
        <v>3</v>
      </c>
    </row>
    <row r="27" spans="1:10" ht="39" x14ac:dyDescent="0.25">
      <c r="A27" s="16" t="s">
        <v>1236</v>
      </c>
      <c r="B27" s="11">
        <v>43944</v>
      </c>
      <c r="C27" s="15" t="s">
        <v>1237</v>
      </c>
      <c r="D27" s="15" t="s">
        <v>1238</v>
      </c>
      <c r="E27" s="13" t="s">
        <v>1239</v>
      </c>
      <c r="F27" s="13" t="s">
        <v>12</v>
      </c>
      <c r="G27" s="14">
        <v>3000</v>
      </c>
      <c r="H27" s="13"/>
      <c r="I27" s="12" t="s">
        <v>13</v>
      </c>
      <c r="J27" s="12" t="s">
        <v>21</v>
      </c>
    </row>
    <row r="28" spans="1:10" ht="19.5" x14ac:dyDescent="0.25">
      <c r="A28" s="16" t="s">
        <v>1240</v>
      </c>
      <c r="B28" s="11"/>
      <c r="C28" s="31" t="s">
        <v>850</v>
      </c>
      <c r="D28" s="15"/>
      <c r="E28" s="13"/>
      <c r="F28" s="13"/>
      <c r="G28" s="14"/>
      <c r="H28" s="13"/>
      <c r="I28" s="8"/>
      <c r="J28" s="50"/>
    </row>
    <row r="29" spans="1:10" ht="19.5" x14ac:dyDescent="0.25">
      <c r="A29" s="16" t="s">
        <v>1241</v>
      </c>
      <c r="B29" s="11"/>
      <c r="C29" s="31" t="s">
        <v>850</v>
      </c>
      <c r="D29" s="15"/>
      <c r="E29" s="13"/>
      <c r="F29" s="13"/>
      <c r="G29" s="14"/>
      <c r="H29" s="13"/>
      <c r="I29" s="8"/>
      <c r="J29" s="50"/>
    </row>
    <row r="30" spans="1:10" ht="19.5" x14ac:dyDescent="0.25">
      <c r="A30" s="16" t="s">
        <v>1242</v>
      </c>
      <c r="B30" s="11"/>
      <c r="C30" s="31" t="s">
        <v>850</v>
      </c>
      <c r="D30" s="15"/>
      <c r="E30" s="13"/>
      <c r="F30" s="13"/>
      <c r="G30" s="14"/>
      <c r="H30" s="13"/>
      <c r="I30" s="8"/>
      <c r="J30" s="50"/>
    </row>
    <row r="31" spans="1:10" ht="58.5" x14ac:dyDescent="0.25">
      <c r="A31" s="16" t="s">
        <v>1243</v>
      </c>
      <c r="B31" s="11">
        <v>43944</v>
      </c>
      <c r="C31" s="15" t="s">
        <v>1244</v>
      </c>
      <c r="D31" s="15" t="s">
        <v>1245</v>
      </c>
      <c r="E31" s="13"/>
      <c r="F31" s="13" t="s">
        <v>45</v>
      </c>
      <c r="G31" s="14">
        <v>2000</v>
      </c>
      <c r="H31" s="13"/>
      <c r="I31" s="12" t="s">
        <v>1170</v>
      </c>
      <c r="J31" s="12" t="s">
        <v>14</v>
      </c>
    </row>
    <row r="32" spans="1:10" ht="39" x14ac:dyDescent="0.25">
      <c r="A32" s="16" t="s">
        <v>1246</v>
      </c>
      <c r="B32" s="11">
        <v>43945</v>
      </c>
      <c r="C32" s="37" t="s">
        <v>35</v>
      </c>
      <c r="D32" s="15" t="s">
        <v>36</v>
      </c>
      <c r="E32" s="13" t="s">
        <v>1247</v>
      </c>
      <c r="F32" s="13" t="s">
        <v>1221</v>
      </c>
      <c r="G32" s="14">
        <v>1050</v>
      </c>
      <c r="H32" s="13"/>
      <c r="I32" s="12" t="s">
        <v>13</v>
      </c>
      <c r="J32" s="12" t="s">
        <v>21</v>
      </c>
    </row>
    <row r="33" spans="1:10" ht="39" x14ac:dyDescent="0.25">
      <c r="A33" s="16" t="s">
        <v>1248</v>
      </c>
      <c r="B33" s="11">
        <v>43946</v>
      </c>
      <c r="C33" s="37" t="s">
        <v>1249</v>
      </c>
      <c r="D33" s="15" t="s">
        <v>1250</v>
      </c>
      <c r="E33" s="13"/>
      <c r="F33" s="13" t="s">
        <v>37</v>
      </c>
      <c r="G33" s="14">
        <v>848</v>
      </c>
      <c r="H33" s="13"/>
      <c r="I33" s="12" t="s">
        <v>13</v>
      </c>
      <c r="J33" s="12" t="s">
        <v>22</v>
      </c>
    </row>
    <row r="34" spans="1:10" ht="136.5" x14ac:dyDescent="0.25">
      <c r="A34" s="16" t="s">
        <v>1251</v>
      </c>
      <c r="B34" s="11">
        <v>43941</v>
      </c>
      <c r="C34" s="37" t="s">
        <v>1252</v>
      </c>
      <c r="D34" s="15" t="s">
        <v>1253</v>
      </c>
      <c r="E34" s="13"/>
      <c r="F34" s="13" t="s">
        <v>1285</v>
      </c>
      <c r="G34" s="14">
        <v>4500</v>
      </c>
      <c r="H34" s="13"/>
      <c r="I34" s="12" t="s">
        <v>1170</v>
      </c>
      <c r="J34" s="12" t="s">
        <v>22</v>
      </c>
    </row>
    <row r="35" spans="1:10" ht="39" x14ac:dyDescent="0.25">
      <c r="A35" s="16" t="s">
        <v>1254</v>
      </c>
      <c r="B35" s="11">
        <v>43946</v>
      </c>
      <c r="C35" s="37" t="s">
        <v>1255</v>
      </c>
      <c r="D35" s="15" t="s">
        <v>1256</v>
      </c>
      <c r="E35" s="13" t="s">
        <v>1257</v>
      </c>
      <c r="F35" s="13" t="s">
        <v>37</v>
      </c>
      <c r="G35" s="14">
        <v>400</v>
      </c>
      <c r="H35" s="13"/>
      <c r="I35" s="12" t="s">
        <v>13</v>
      </c>
      <c r="J35" s="12" t="s">
        <v>21</v>
      </c>
    </row>
    <row r="36" spans="1:10" ht="156" x14ac:dyDescent="0.25">
      <c r="A36" s="16" t="s">
        <v>1258</v>
      </c>
      <c r="B36" s="11">
        <v>43946</v>
      </c>
      <c r="C36" s="37" t="s">
        <v>1259</v>
      </c>
      <c r="D36" s="15" t="s">
        <v>1260</v>
      </c>
      <c r="E36" s="13"/>
      <c r="F36" s="13" t="s">
        <v>37</v>
      </c>
      <c r="G36" s="14">
        <v>5600</v>
      </c>
      <c r="H36" s="13"/>
      <c r="I36" s="12" t="s">
        <v>1170</v>
      </c>
      <c r="J36" s="12" t="s">
        <v>22</v>
      </c>
    </row>
    <row r="37" spans="1:10" ht="58.5" x14ac:dyDescent="0.25">
      <c r="A37" s="16" t="s">
        <v>1261</v>
      </c>
      <c r="B37" s="11">
        <v>43948</v>
      </c>
      <c r="C37" s="15" t="s">
        <v>47</v>
      </c>
      <c r="D37" s="15" t="s">
        <v>1262</v>
      </c>
      <c r="E37" s="13"/>
      <c r="F37" s="13" t="s">
        <v>1221</v>
      </c>
      <c r="G37" s="14">
        <v>900</v>
      </c>
      <c r="H37" s="13"/>
      <c r="I37" s="12" t="s">
        <v>13</v>
      </c>
      <c r="J37" s="12" t="s">
        <v>22</v>
      </c>
    </row>
    <row r="38" spans="1:10" ht="39" x14ac:dyDescent="0.25">
      <c r="A38" s="16" t="s">
        <v>1263</v>
      </c>
      <c r="B38" s="11">
        <v>43949</v>
      </c>
      <c r="C38" s="15" t="s">
        <v>771</v>
      </c>
      <c r="D38" s="15" t="s">
        <v>1231</v>
      </c>
      <c r="E38" s="13" t="s">
        <v>57</v>
      </c>
      <c r="F38" s="13" t="s">
        <v>12</v>
      </c>
      <c r="G38" s="14">
        <v>400</v>
      </c>
      <c r="H38" s="13"/>
      <c r="I38" s="12" t="s">
        <v>13</v>
      </c>
      <c r="J38" s="12" t="s">
        <v>21</v>
      </c>
    </row>
    <row r="39" spans="1:10" ht="39" x14ac:dyDescent="0.25">
      <c r="A39" s="16" t="s">
        <v>1264</v>
      </c>
      <c r="B39" s="11">
        <v>43951</v>
      </c>
      <c r="C39" s="37" t="s">
        <v>35</v>
      </c>
      <c r="D39" s="15" t="s">
        <v>36</v>
      </c>
      <c r="E39" s="13" t="s">
        <v>1265</v>
      </c>
      <c r="F39" s="13" t="s">
        <v>1221</v>
      </c>
      <c r="G39" s="14">
        <v>450</v>
      </c>
      <c r="H39" s="13"/>
      <c r="I39" s="12" t="s">
        <v>13</v>
      </c>
      <c r="J39" s="12" t="s">
        <v>21</v>
      </c>
    </row>
    <row r="40" spans="1:10" ht="19.5" customHeight="1" x14ac:dyDescent="0.25">
      <c r="A40" s="16" t="s">
        <v>1266</v>
      </c>
      <c r="B40" s="11">
        <v>43951</v>
      </c>
      <c r="C40" s="15" t="s">
        <v>1267</v>
      </c>
      <c r="D40" s="15" t="s">
        <v>1268</v>
      </c>
      <c r="E40" s="13" t="s">
        <v>1269</v>
      </c>
      <c r="F40" s="13" t="s">
        <v>12</v>
      </c>
      <c r="G40" s="14">
        <v>1200</v>
      </c>
      <c r="H40" s="13"/>
      <c r="I40" s="15" t="s">
        <v>41</v>
      </c>
      <c r="J40" s="12" t="s">
        <v>22</v>
      </c>
    </row>
    <row r="41" spans="1:10" ht="21" customHeight="1" x14ac:dyDescent="0.25">
      <c r="A41" s="10"/>
      <c r="B41" s="11"/>
      <c r="C41" s="15"/>
      <c r="D41" s="22" t="s">
        <v>19</v>
      </c>
      <c r="E41" s="13"/>
      <c r="F41" s="13"/>
      <c r="G41" s="14">
        <f>SUM(G5:G40)</f>
        <v>44003</v>
      </c>
      <c r="H41" s="13"/>
      <c r="I41" s="12"/>
      <c r="J41" s="12"/>
    </row>
    <row r="43" spans="1:10" ht="19.5" x14ac:dyDescent="0.25">
      <c r="A43" s="17" t="s">
        <v>18</v>
      </c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2">
    <mergeCell ref="A1:J1"/>
    <mergeCell ref="A2:J2"/>
  </mergeCells>
  <phoneticPr fontId="4" type="noConversion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4" sqref="G4"/>
    </sheetView>
  </sheetViews>
  <sheetFormatPr defaultRowHeight="16.5" x14ac:dyDescent="0.25"/>
  <cols>
    <col min="1" max="1" width="9.375" style="2" customWidth="1"/>
    <col min="2" max="2" width="8.375" style="4" customWidth="1"/>
    <col min="3" max="3" width="21.75" style="1" customWidth="1"/>
    <col min="4" max="4" width="24.25" style="1" customWidth="1"/>
    <col min="5" max="5" width="9.625" style="1" customWidth="1"/>
    <col min="6" max="6" width="9.375" style="3" customWidth="1"/>
    <col min="7" max="7" width="12.875" style="5" customWidth="1"/>
    <col min="8" max="8" width="7.625" style="3" customWidth="1"/>
    <col min="9" max="9" width="16.375" style="1" customWidth="1"/>
    <col min="10" max="10" width="12.625" style="1" customWidth="1"/>
    <col min="11" max="16384" width="9" style="1"/>
  </cols>
  <sheetData>
    <row r="1" spans="1:10" ht="2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1" x14ac:dyDescent="0.25">
      <c r="A2" s="71" t="s">
        <v>1270</v>
      </c>
      <c r="B2" s="71"/>
      <c r="C2" s="71"/>
      <c r="D2" s="71"/>
      <c r="E2" s="71"/>
      <c r="F2" s="71"/>
      <c r="G2" s="71"/>
      <c r="H2" s="71"/>
      <c r="I2" s="71"/>
      <c r="J2" s="71"/>
    </row>
    <row r="4" spans="1:10" s="3" customFormat="1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9</v>
      </c>
      <c r="J4" s="8" t="s">
        <v>10</v>
      </c>
    </row>
    <row r="5" spans="1:10" ht="39" x14ac:dyDescent="0.25">
      <c r="A5" s="16" t="s">
        <v>1271</v>
      </c>
      <c r="B5" s="11">
        <v>43952</v>
      </c>
      <c r="C5" s="37" t="s">
        <v>1255</v>
      </c>
      <c r="D5" s="15" t="s">
        <v>1272</v>
      </c>
      <c r="E5" s="13"/>
      <c r="F5" s="13" t="s">
        <v>1273</v>
      </c>
      <c r="G5" s="14">
        <v>700</v>
      </c>
      <c r="H5" s="13"/>
      <c r="I5" s="12" t="s">
        <v>13</v>
      </c>
      <c r="J5" s="12" t="s">
        <v>21</v>
      </c>
    </row>
    <row r="6" spans="1:10" ht="39" x14ac:dyDescent="0.25">
      <c r="A6" s="16" t="s">
        <v>1274</v>
      </c>
      <c r="B6" s="11">
        <v>43954</v>
      </c>
      <c r="C6" s="15" t="s">
        <v>1275</v>
      </c>
      <c r="D6" s="15" t="s">
        <v>1276</v>
      </c>
      <c r="E6" s="13"/>
      <c r="F6" s="13" t="s">
        <v>1221</v>
      </c>
      <c r="G6" s="14">
        <v>14000</v>
      </c>
      <c r="H6" s="13"/>
      <c r="I6" s="12" t="s">
        <v>13</v>
      </c>
      <c r="J6" s="12" t="s">
        <v>22</v>
      </c>
    </row>
    <row r="7" spans="1:10" ht="19.5" x14ac:dyDescent="0.25">
      <c r="A7" s="20" t="s">
        <v>1277</v>
      </c>
      <c r="B7" s="11">
        <v>43957</v>
      </c>
      <c r="C7" s="15" t="s">
        <v>1278</v>
      </c>
      <c r="D7" s="15" t="s">
        <v>1279</v>
      </c>
      <c r="E7" s="13" t="s">
        <v>1280</v>
      </c>
      <c r="F7" s="13" t="s">
        <v>1273</v>
      </c>
      <c r="G7" s="14">
        <v>1000</v>
      </c>
      <c r="H7" s="13"/>
      <c r="I7" s="12" t="s">
        <v>13</v>
      </c>
      <c r="J7" s="12" t="s">
        <v>31</v>
      </c>
    </row>
    <row r="8" spans="1:10" ht="19.5" x14ac:dyDescent="0.25">
      <c r="A8" s="20" t="s">
        <v>1281</v>
      </c>
      <c r="B8" s="11">
        <v>43957</v>
      </c>
      <c r="C8" s="36" t="s">
        <v>1282</v>
      </c>
      <c r="D8" s="15" t="s">
        <v>1283</v>
      </c>
      <c r="E8" s="13" t="s">
        <v>1284</v>
      </c>
      <c r="F8" s="13" t="s">
        <v>37</v>
      </c>
      <c r="G8" s="14">
        <v>800</v>
      </c>
      <c r="H8" s="13"/>
      <c r="I8" s="12" t="s">
        <v>15</v>
      </c>
      <c r="J8" s="12" t="s">
        <v>14</v>
      </c>
    </row>
    <row r="9" spans="1:10" ht="19.5" customHeight="1" x14ac:dyDescent="0.25">
      <c r="A9" s="20" t="s">
        <v>1286</v>
      </c>
      <c r="B9" s="11">
        <v>43957</v>
      </c>
      <c r="C9" s="15" t="s">
        <v>1287</v>
      </c>
      <c r="D9" s="15" t="s">
        <v>1288</v>
      </c>
      <c r="E9" s="13" t="s">
        <v>1289</v>
      </c>
      <c r="F9" s="13" t="s">
        <v>1273</v>
      </c>
      <c r="G9" s="14">
        <v>699</v>
      </c>
      <c r="H9" s="13"/>
      <c r="I9" s="12" t="s">
        <v>15</v>
      </c>
      <c r="J9" s="12" t="s">
        <v>14</v>
      </c>
    </row>
    <row r="10" spans="1:10" ht="39" x14ac:dyDescent="0.25">
      <c r="A10" s="16" t="s">
        <v>1290</v>
      </c>
      <c r="B10" s="11">
        <v>43959</v>
      </c>
      <c r="C10" s="15" t="s">
        <v>1291</v>
      </c>
      <c r="D10" s="15" t="s">
        <v>1292</v>
      </c>
      <c r="E10" s="13"/>
      <c r="F10" s="13" t="s">
        <v>1221</v>
      </c>
      <c r="G10" s="14">
        <v>1000</v>
      </c>
      <c r="H10" s="13"/>
      <c r="I10" s="12" t="s">
        <v>1293</v>
      </c>
      <c r="J10" s="12" t="s">
        <v>21</v>
      </c>
    </row>
    <row r="11" spans="1:10" ht="78" x14ac:dyDescent="0.25">
      <c r="A11" s="16" t="s">
        <v>1294</v>
      </c>
      <c r="B11" s="11">
        <v>43959</v>
      </c>
      <c r="C11" s="15" t="s">
        <v>1295</v>
      </c>
      <c r="D11" s="15" t="s">
        <v>1296</v>
      </c>
      <c r="E11" s="13"/>
      <c r="F11" s="13" t="s">
        <v>1297</v>
      </c>
      <c r="G11" s="14">
        <v>5650</v>
      </c>
      <c r="H11" s="13"/>
      <c r="I11" s="12" t="s">
        <v>1170</v>
      </c>
      <c r="J11" s="12" t="s">
        <v>14</v>
      </c>
    </row>
    <row r="12" spans="1:10" ht="39" x14ac:dyDescent="0.25">
      <c r="A12" s="16" t="s">
        <v>1299</v>
      </c>
      <c r="B12" s="11">
        <v>43959</v>
      </c>
      <c r="C12" s="37" t="s">
        <v>35</v>
      </c>
      <c r="D12" s="15" t="s">
        <v>36</v>
      </c>
      <c r="E12" s="13" t="s">
        <v>1298</v>
      </c>
      <c r="F12" s="13" t="s">
        <v>1221</v>
      </c>
      <c r="G12" s="14">
        <v>945</v>
      </c>
      <c r="H12" s="13"/>
      <c r="I12" s="12" t="s">
        <v>13</v>
      </c>
      <c r="J12" s="12" t="s">
        <v>21</v>
      </c>
    </row>
    <row r="13" spans="1:10" ht="19.5" x14ac:dyDescent="0.25">
      <c r="A13" s="16" t="s">
        <v>1300</v>
      </c>
      <c r="B13" s="11">
        <v>43963</v>
      </c>
      <c r="C13" s="15" t="s">
        <v>771</v>
      </c>
      <c r="D13" s="15" t="s">
        <v>1231</v>
      </c>
      <c r="E13" s="13" t="s">
        <v>57</v>
      </c>
      <c r="F13" s="13" t="s">
        <v>1273</v>
      </c>
      <c r="G13" s="14">
        <v>400</v>
      </c>
      <c r="H13" s="13"/>
      <c r="I13" s="12" t="s">
        <v>13</v>
      </c>
      <c r="J13" s="12" t="s">
        <v>21</v>
      </c>
    </row>
    <row r="14" spans="1:10" ht="19.5" x14ac:dyDescent="0.25">
      <c r="A14" s="16" t="s">
        <v>1301</v>
      </c>
      <c r="B14" s="11">
        <v>43962</v>
      </c>
      <c r="C14" s="36" t="s">
        <v>1282</v>
      </c>
      <c r="D14" s="15" t="s">
        <v>1302</v>
      </c>
      <c r="E14" s="13" t="s">
        <v>1303</v>
      </c>
      <c r="F14" s="13" t="s">
        <v>1221</v>
      </c>
      <c r="G14" s="14">
        <v>1800</v>
      </c>
      <c r="H14" s="13"/>
      <c r="I14" s="12" t="s">
        <v>13</v>
      </c>
      <c r="J14" s="12" t="s">
        <v>22</v>
      </c>
    </row>
    <row r="15" spans="1:10" ht="175.5" x14ac:dyDescent="0.25">
      <c r="A15" s="16" t="s">
        <v>1304</v>
      </c>
      <c r="B15" s="11">
        <v>43957</v>
      </c>
      <c r="C15" s="36" t="s">
        <v>1282</v>
      </c>
      <c r="D15" s="15" t="s">
        <v>1305</v>
      </c>
      <c r="E15" s="13"/>
      <c r="F15" s="13" t="s">
        <v>1221</v>
      </c>
      <c r="G15" s="14">
        <v>9000</v>
      </c>
      <c r="H15" s="13"/>
      <c r="I15" s="12" t="s">
        <v>13</v>
      </c>
      <c r="J15" s="12" t="s">
        <v>22</v>
      </c>
    </row>
    <row r="16" spans="1:10" ht="39" x14ac:dyDescent="0.25">
      <c r="A16" s="16" t="s">
        <v>1306</v>
      </c>
      <c r="B16" s="11">
        <v>43965</v>
      </c>
      <c r="C16" s="15" t="s">
        <v>1307</v>
      </c>
      <c r="D16" s="15" t="s">
        <v>1308</v>
      </c>
      <c r="E16" s="13"/>
      <c r="F16" s="13" t="s">
        <v>50</v>
      </c>
      <c r="G16" s="14">
        <v>800</v>
      </c>
      <c r="H16" s="13"/>
      <c r="I16" s="12" t="s">
        <v>15</v>
      </c>
      <c r="J16" s="12" t="s">
        <v>14</v>
      </c>
    </row>
    <row r="17" spans="1:10" ht="39" x14ac:dyDescent="0.25">
      <c r="A17" s="16" t="s">
        <v>1309</v>
      </c>
      <c r="B17" s="11">
        <v>43965</v>
      </c>
      <c r="C17" s="37" t="s">
        <v>1255</v>
      </c>
      <c r="D17" s="15" t="s">
        <v>1256</v>
      </c>
      <c r="E17" s="13" t="s">
        <v>1310</v>
      </c>
      <c r="F17" s="13" t="s">
        <v>1311</v>
      </c>
      <c r="G17" s="14">
        <v>950</v>
      </c>
      <c r="H17" s="13"/>
      <c r="I17" s="12" t="s">
        <v>13</v>
      </c>
      <c r="J17" s="12" t="s">
        <v>21</v>
      </c>
    </row>
    <row r="18" spans="1:10" ht="39" x14ac:dyDescent="0.25">
      <c r="A18" s="16" t="s">
        <v>1312</v>
      </c>
      <c r="B18" s="11">
        <v>43966</v>
      </c>
      <c r="C18" s="37" t="s">
        <v>35</v>
      </c>
      <c r="D18" s="15" t="s">
        <v>36</v>
      </c>
      <c r="E18" s="13" t="s">
        <v>1313</v>
      </c>
      <c r="F18" s="13" t="s">
        <v>1221</v>
      </c>
      <c r="G18" s="14">
        <v>750</v>
      </c>
      <c r="H18" s="13"/>
      <c r="I18" s="12" t="s">
        <v>13</v>
      </c>
      <c r="J18" s="12" t="s">
        <v>21</v>
      </c>
    </row>
    <row r="19" spans="1:10" ht="19.5" x14ac:dyDescent="0.25">
      <c r="A19" s="16" t="s">
        <v>1314</v>
      </c>
      <c r="B19" s="11">
        <v>43969</v>
      </c>
      <c r="C19" s="15" t="s">
        <v>1315</v>
      </c>
      <c r="D19" s="15" t="s">
        <v>1316</v>
      </c>
      <c r="E19" s="13" t="s">
        <v>1317</v>
      </c>
      <c r="F19" s="13" t="s">
        <v>1230</v>
      </c>
      <c r="G19" s="14">
        <v>500</v>
      </c>
      <c r="H19" s="13"/>
      <c r="I19" s="12" t="s">
        <v>13</v>
      </c>
      <c r="J19" s="12" t="s">
        <v>22</v>
      </c>
    </row>
    <row r="20" spans="1:10" ht="39" x14ac:dyDescent="0.25">
      <c r="A20" s="16" t="s">
        <v>1319</v>
      </c>
      <c r="B20" s="11">
        <v>43973</v>
      </c>
      <c r="C20" s="37" t="s">
        <v>35</v>
      </c>
      <c r="D20" s="15" t="s">
        <v>36</v>
      </c>
      <c r="E20" s="13" t="s">
        <v>1320</v>
      </c>
      <c r="F20" s="13" t="s">
        <v>1202</v>
      </c>
      <c r="G20" s="14">
        <v>990</v>
      </c>
      <c r="H20" s="13"/>
      <c r="I20" s="12" t="s">
        <v>13</v>
      </c>
      <c r="J20" s="12" t="s">
        <v>21</v>
      </c>
    </row>
    <row r="21" spans="1:10" ht="19.5" x14ac:dyDescent="0.25">
      <c r="A21" s="16" t="s">
        <v>1321</v>
      </c>
      <c r="B21" s="11">
        <v>43977</v>
      </c>
      <c r="C21" s="15" t="s">
        <v>1322</v>
      </c>
      <c r="D21" s="15" t="s">
        <v>1323</v>
      </c>
      <c r="E21" s="13" t="s">
        <v>1324</v>
      </c>
      <c r="F21" s="13" t="s">
        <v>60</v>
      </c>
      <c r="G21" s="14">
        <v>150</v>
      </c>
      <c r="H21" s="13"/>
      <c r="I21" s="12" t="s">
        <v>15</v>
      </c>
      <c r="J21" s="12" t="s">
        <v>14</v>
      </c>
    </row>
    <row r="22" spans="1:10" ht="19.5" x14ac:dyDescent="0.25">
      <c r="A22" s="16" t="s">
        <v>1325</v>
      </c>
      <c r="B22" s="11">
        <v>43977</v>
      </c>
      <c r="C22" s="15" t="s">
        <v>1326</v>
      </c>
      <c r="D22" s="15" t="s">
        <v>1327</v>
      </c>
      <c r="E22" s="13" t="s">
        <v>1328</v>
      </c>
      <c r="F22" s="13" t="s">
        <v>12</v>
      </c>
      <c r="G22" s="14">
        <v>1200</v>
      </c>
      <c r="H22" s="13"/>
      <c r="I22" s="12" t="s">
        <v>13</v>
      </c>
      <c r="J22" s="12" t="s">
        <v>22</v>
      </c>
    </row>
    <row r="23" spans="1:10" ht="39" x14ac:dyDescent="0.25">
      <c r="A23" s="16" t="s">
        <v>1329</v>
      </c>
      <c r="B23" s="11">
        <v>43980</v>
      </c>
      <c r="C23" s="37" t="s">
        <v>35</v>
      </c>
      <c r="D23" s="15" t="s">
        <v>36</v>
      </c>
      <c r="E23" s="13" t="s">
        <v>1330</v>
      </c>
      <c r="F23" s="13" t="s">
        <v>1202</v>
      </c>
      <c r="G23" s="14">
        <v>480</v>
      </c>
      <c r="H23" s="13"/>
      <c r="I23" s="12" t="s">
        <v>13</v>
      </c>
      <c r="J23" s="12" t="s">
        <v>21</v>
      </c>
    </row>
    <row r="24" spans="1:10" ht="19.5" x14ac:dyDescent="0.25">
      <c r="A24" s="16" t="s">
        <v>1331</v>
      </c>
      <c r="B24" s="11">
        <v>43981</v>
      </c>
      <c r="C24" s="19" t="s">
        <v>1332</v>
      </c>
      <c r="D24" s="15" t="s">
        <v>1333</v>
      </c>
      <c r="E24" s="13" t="s">
        <v>1334</v>
      </c>
      <c r="F24" s="13" t="s">
        <v>60</v>
      </c>
      <c r="G24" s="14">
        <v>500</v>
      </c>
      <c r="H24" s="13"/>
      <c r="I24" s="12" t="s">
        <v>13</v>
      </c>
      <c r="J24" s="12" t="s">
        <v>21</v>
      </c>
    </row>
    <row r="25" spans="1:10" ht="21" customHeight="1" x14ac:dyDescent="0.25">
      <c r="A25" s="10"/>
      <c r="B25" s="11"/>
      <c r="C25" s="15"/>
      <c r="D25" s="22" t="s">
        <v>19</v>
      </c>
      <c r="E25" s="13"/>
      <c r="F25" s="13"/>
      <c r="G25" s="14">
        <f>SUM(G5:G24)</f>
        <v>42314</v>
      </c>
      <c r="H25" s="13"/>
      <c r="I25" s="12"/>
      <c r="J25" s="12"/>
    </row>
    <row r="26" spans="1:10" ht="21" customHeight="1" x14ac:dyDescent="0.25">
      <c r="A26" s="23"/>
      <c r="B26" s="24"/>
      <c r="C26" s="25"/>
      <c r="D26" s="26"/>
      <c r="E26" s="27"/>
      <c r="F26" s="27"/>
      <c r="G26" s="28"/>
      <c r="H26" s="27"/>
      <c r="I26" s="29"/>
      <c r="J26" s="29"/>
    </row>
    <row r="27" spans="1:10" ht="19.5" x14ac:dyDescent="0.25">
      <c r="A27" s="17" t="s">
        <v>18</v>
      </c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2">
    <mergeCell ref="A1:J1"/>
    <mergeCell ref="A2:J2"/>
  </mergeCells>
  <phoneticPr fontId="4" type="noConversion"/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F24" sqref="F24:J25"/>
    </sheetView>
  </sheetViews>
  <sheetFormatPr defaultRowHeight="16.5" x14ac:dyDescent="0.25"/>
  <cols>
    <col min="1" max="1" width="9.375" style="2" customWidth="1"/>
    <col min="2" max="2" width="8.375" style="4" customWidth="1"/>
    <col min="3" max="3" width="21.75" style="1" customWidth="1"/>
    <col min="4" max="4" width="24.25" style="1" customWidth="1"/>
    <col min="5" max="5" width="9.625" style="1" customWidth="1"/>
    <col min="6" max="6" width="9.375" style="3" customWidth="1"/>
    <col min="7" max="7" width="12.875" style="5" customWidth="1"/>
    <col min="8" max="8" width="7.625" style="3" customWidth="1"/>
    <col min="9" max="9" width="14.375" style="1" customWidth="1"/>
    <col min="10" max="10" width="13.625" style="1" customWidth="1"/>
    <col min="11" max="16384" width="9" style="1"/>
  </cols>
  <sheetData>
    <row r="1" spans="1:10" ht="3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7.75" x14ac:dyDescent="0.25">
      <c r="A2" s="70" t="s">
        <v>1335</v>
      </c>
      <c r="B2" s="70"/>
      <c r="C2" s="70"/>
      <c r="D2" s="70"/>
      <c r="E2" s="70"/>
      <c r="F2" s="70"/>
      <c r="G2" s="70"/>
      <c r="H2" s="70"/>
      <c r="I2" s="70"/>
      <c r="J2" s="70"/>
    </row>
    <row r="4" spans="1:10" s="3" customFormat="1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9</v>
      </c>
      <c r="J4" s="8" t="s">
        <v>10</v>
      </c>
    </row>
    <row r="5" spans="1:10" ht="39" x14ac:dyDescent="0.25">
      <c r="A5" s="16" t="s">
        <v>1336</v>
      </c>
      <c r="B5" s="11">
        <v>43983</v>
      </c>
      <c r="C5" s="15" t="s">
        <v>1337</v>
      </c>
      <c r="D5" s="15" t="s">
        <v>1338</v>
      </c>
      <c r="E5" s="13"/>
      <c r="F5" s="13" t="s">
        <v>1339</v>
      </c>
      <c r="G5" s="14">
        <v>1000</v>
      </c>
      <c r="H5" s="13"/>
      <c r="I5" s="15" t="s">
        <v>15</v>
      </c>
      <c r="J5" s="12" t="s">
        <v>14</v>
      </c>
    </row>
    <row r="6" spans="1:10" ht="19.5" x14ac:dyDescent="0.25">
      <c r="A6" s="16" t="s">
        <v>1340</v>
      </c>
      <c r="B6" s="11">
        <v>43983</v>
      </c>
      <c r="C6" s="15" t="s">
        <v>1341</v>
      </c>
      <c r="D6" s="15" t="s">
        <v>1342</v>
      </c>
      <c r="E6" s="13" t="s">
        <v>1343</v>
      </c>
      <c r="F6" s="13" t="s">
        <v>59</v>
      </c>
      <c r="G6" s="14">
        <v>0</v>
      </c>
      <c r="H6" s="13"/>
      <c r="I6" s="8" t="s">
        <v>32</v>
      </c>
      <c r="J6" s="50" t="s">
        <v>33</v>
      </c>
    </row>
    <row r="7" spans="1:10" ht="19.5" x14ac:dyDescent="0.25">
      <c r="A7" s="20"/>
      <c r="B7" s="11"/>
      <c r="C7" s="34"/>
      <c r="D7" s="15"/>
      <c r="E7" s="13"/>
      <c r="F7" s="13"/>
      <c r="G7" s="14"/>
      <c r="H7" s="13"/>
      <c r="I7" s="12"/>
      <c r="J7" s="12"/>
    </row>
    <row r="8" spans="1:10" ht="19.5" x14ac:dyDescent="0.25">
      <c r="A8" s="20"/>
      <c r="B8" s="11"/>
      <c r="C8" s="19"/>
      <c r="D8" s="15"/>
      <c r="E8" s="13"/>
      <c r="F8" s="13"/>
      <c r="G8" s="14"/>
      <c r="H8" s="13"/>
      <c r="I8" s="12"/>
      <c r="J8" s="12"/>
    </row>
    <row r="9" spans="1:10" ht="19.5" customHeight="1" x14ac:dyDescent="0.25">
      <c r="A9" s="20"/>
      <c r="B9" s="11"/>
      <c r="C9" s="15"/>
      <c r="D9" s="15"/>
      <c r="E9" s="13"/>
      <c r="F9" s="13"/>
      <c r="G9" s="14"/>
      <c r="H9" s="13"/>
      <c r="I9" s="30"/>
      <c r="J9" s="12"/>
    </row>
    <row r="10" spans="1:10" ht="19.5" x14ac:dyDescent="0.25">
      <c r="A10" s="20"/>
      <c r="B10" s="11"/>
      <c r="C10" s="19"/>
      <c r="D10" s="15"/>
      <c r="E10" s="13"/>
      <c r="F10" s="13"/>
      <c r="G10" s="14"/>
      <c r="H10" s="13"/>
      <c r="I10" s="12"/>
      <c r="J10" s="12"/>
    </row>
    <row r="11" spans="1:10" ht="19.5" x14ac:dyDescent="0.25">
      <c r="A11" s="20"/>
      <c r="B11" s="11"/>
      <c r="C11" s="15"/>
      <c r="D11" s="15"/>
      <c r="E11" s="13"/>
      <c r="F11" s="13"/>
      <c r="G11" s="14"/>
      <c r="H11" s="13"/>
      <c r="I11" s="12"/>
      <c r="J11" s="12"/>
    </row>
    <row r="12" spans="1:10" ht="19.5" x14ac:dyDescent="0.25">
      <c r="A12" s="20"/>
      <c r="B12" s="11"/>
      <c r="C12" s="31"/>
      <c r="D12" s="15"/>
      <c r="E12" s="8"/>
      <c r="F12" s="13"/>
      <c r="G12" s="14"/>
      <c r="H12" s="13"/>
      <c r="I12" s="12"/>
      <c r="J12" s="12"/>
    </row>
    <row r="13" spans="1:10" ht="19.5" x14ac:dyDescent="0.25">
      <c r="A13" s="16"/>
      <c r="B13" s="11"/>
      <c r="C13" s="15"/>
      <c r="D13" s="15"/>
      <c r="E13" s="13"/>
      <c r="F13" s="13"/>
      <c r="G13" s="14"/>
      <c r="H13" s="13"/>
      <c r="I13" s="12"/>
      <c r="J13" s="12"/>
    </row>
    <row r="14" spans="1:10" ht="19.5" x14ac:dyDescent="0.25">
      <c r="A14" s="16"/>
      <c r="B14" s="11"/>
      <c r="C14" s="15"/>
      <c r="D14" s="15"/>
      <c r="E14" s="13"/>
      <c r="F14" s="13"/>
      <c r="G14" s="14"/>
      <c r="H14" s="13"/>
      <c r="I14" s="12"/>
      <c r="J14" s="12"/>
    </row>
    <row r="15" spans="1:10" ht="19.5" x14ac:dyDescent="0.25">
      <c r="A15" s="16"/>
      <c r="B15" s="11"/>
      <c r="C15" s="15"/>
      <c r="D15" s="15"/>
      <c r="E15" s="13"/>
      <c r="F15" s="13"/>
      <c r="G15" s="14"/>
      <c r="H15" s="13"/>
      <c r="I15" s="12"/>
      <c r="J15" s="12"/>
    </row>
    <row r="16" spans="1:10" ht="19.5" x14ac:dyDescent="0.25">
      <c r="A16" s="16"/>
      <c r="B16" s="11"/>
      <c r="C16" s="15"/>
      <c r="D16" s="15"/>
      <c r="E16" s="13"/>
      <c r="F16" s="13"/>
      <c r="G16" s="14"/>
      <c r="H16" s="13"/>
      <c r="I16" s="12"/>
      <c r="J16" s="12"/>
    </row>
    <row r="17" spans="1:10" ht="19.5" x14ac:dyDescent="0.25">
      <c r="A17" s="16"/>
      <c r="B17" s="11"/>
      <c r="C17" s="15"/>
      <c r="D17" s="15"/>
      <c r="E17" s="19"/>
      <c r="F17" s="13"/>
      <c r="G17" s="14"/>
      <c r="H17" s="13"/>
      <c r="I17" s="12"/>
      <c r="J17" s="12"/>
    </row>
    <row r="18" spans="1:10" ht="19.5" x14ac:dyDescent="0.25">
      <c r="A18" s="16"/>
      <c r="B18" s="11"/>
      <c r="C18" s="15"/>
      <c r="D18" s="15"/>
      <c r="E18" s="13"/>
      <c r="F18" s="13"/>
      <c r="G18" s="14"/>
      <c r="H18" s="13"/>
      <c r="I18" s="12"/>
      <c r="J18" s="12"/>
    </row>
    <row r="19" spans="1:10" ht="19.5" x14ac:dyDescent="0.25">
      <c r="A19" s="16"/>
      <c r="B19" s="11"/>
      <c r="C19" s="19"/>
      <c r="D19" s="15"/>
      <c r="E19" s="13"/>
      <c r="F19" s="13"/>
      <c r="G19" s="14"/>
      <c r="H19" s="13"/>
      <c r="I19" s="12"/>
      <c r="J19" s="12"/>
    </row>
    <row r="20" spans="1:10" ht="19.5" x14ac:dyDescent="0.25">
      <c r="A20" s="16"/>
      <c r="B20" s="11"/>
      <c r="C20" s="15"/>
      <c r="D20" s="15"/>
      <c r="E20" s="13"/>
      <c r="F20" s="13"/>
      <c r="G20" s="14"/>
      <c r="H20" s="13"/>
      <c r="I20" s="12"/>
      <c r="J20" s="12"/>
    </row>
    <row r="21" spans="1:10" ht="19.5" x14ac:dyDescent="0.25">
      <c r="A21" s="16"/>
      <c r="B21" s="11"/>
      <c r="C21" s="15"/>
      <c r="D21" s="15"/>
      <c r="E21" s="13"/>
      <c r="F21" s="13"/>
      <c r="G21" s="14"/>
      <c r="H21" s="13"/>
      <c r="I21" s="12"/>
      <c r="J21" s="12"/>
    </row>
    <row r="22" spans="1:10" ht="19.5" x14ac:dyDescent="0.25">
      <c r="A22" s="16"/>
      <c r="B22" s="11"/>
      <c r="C22" s="15"/>
      <c r="D22" s="15"/>
      <c r="E22" s="13"/>
      <c r="F22" s="13"/>
      <c r="G22" s="14"/>
      <c r="H22" s="13"/>
      <c r="I22" s="15"/>
      <c r="J22" s="12"/>
    </row>
    <row r="23" spans="1:10" ht="19.5" x14ac:dyDescent="0.25">
      <c r="A23" s="16"/>
      <c r="B23" s="11"/>
      <c r="C23" s="15"/>
      <c r="D23" s="15"/>
      <c r="E23" s="13"/>
      <c r="F23" s="13"/>
      <c r="G23" s="14"/>
      <c r="H23" s="13"/>
      <c r="I23" s="12"/>
      <c r="J23" s="12"/>
    </row>
    <row r="24" spans="1:10" ht="19.5" x14ac:dyDescent="0.25">
      <c r="A24" s="16"/>
      <c r="B24" s="11"/>
      <c r="C24" s="34"/>
      <c r="D24" s="15"/>
      <c r="E24" s="13"/>
      <c r="F24" s="13"/>
      <c r="G24" s="14"/>
      <c r="H24" s="13"/>
      <c r="I24" s="12"/>
      <c r="J24" s="12"/>
    </row>
    <row r="25" spans="1:10" ht="19.5" x14ac:dyDescent="0.25">
      <c r="A25" s="16"/>
      <c r="B25" s="11"/>
      <c r="C25" s="34"/>
      <c r="D25" s="15"/>
      <c r="E25" s="13"/>
      <c r="F25" s="13"/>
      <c r="G25" s="14"/>
      <c r="H25" s="13"/>
      <c r="I25" s="15"/>
      <c r="J25" s="12"/>
    </row>
    <row r="26" spans="1:10" ht="21" customHeight="1" x14ac:dyDescent="0.25">
      <c r="A26" s="10"/>
      <c r="B26" s="11"/>
      <c r="C26" s="15"/>
      <c r="D26" s="22" t="s">
        <v>19</v>
      </c>
      <c r="E26" s="13"/>
      <c r="F26" s="13"/>
      <c r="G26" s="14">
        <f>SUM(G5:G25)</f>
        <v>1000</v>
      </c>
      <c r="H26" s="13"/>
      <c r="I26" s="12"/>
      <c r="J26" s="12"/>
    </row>
    <row r="27" spans="1:10" ht="21" customHeight="1" x14ac:dyDescent="0.25">
      <c r="A27" s="23"/>
      <c r="B27" s="24"/>
      <c r="C27" s="25"/>
      <c r="D27" s="26"/>
      <c r="E27" s="27"/>
      <c r="F27" s="27"/>
      <c r="G27" s="28"/>
      <c r="H27" s="27"/>
      <c r="I27" s="29"/>
      <c r="J27" s="29"/>
    </row>
    <row r="28" spans="1:10" ht="19.5" x14ac:dyDescent="0.25">
      <c r="A28" s="17" t="s">
        <v>18</v>
      </c>
      <c r="B28" s="17"/>
      <c r="C28" s="17"/>
      <c r="D28" s="17"/>
      <c r="E28" s="17"/>
      <c r="F28" s="17"/>
      <c r="G28" s="17"/>
      <c r="H28" s="17"/>
      <c r="I28" s="17"/>
      <c r="J28" s="17"/>
    </row>
    <row r="30" spans="1:10" x14ac:dyDescent="0.25">
      <c r="A30" s="2" t="s">
        <v>115</v>
      </c>
    </row>
    <row r="31" spans="1:10" x14ac:dyDescent="0.25">
      <c r="A31" s="2">
        <v>33</v>
      </c>
      <c r="B31" s="4" t="s">
        <v>109</v>
      </c>
      <c r="C31" s="1" t="s">
        <v>110</v>
      </c>
    </row>
    <row r="32" spans="1:10" x14ac:dyDescent="0.25">
      <c r="A32" s="2">
        <v>34</v>
      </c>
      <c r="B32" s="4" t="s">
        <v>111</v>
      </c>
      <c r="C32" s="1" t="s">
        <v>112</v>
      </c>
    </row>
    <row r="33" spans="1:3" x14ac:dyDescent="0.25">
      <c r="A33" s="2">
        <v>35</v>
      </c>
      <c r="B33" s="4" t="s">
        <v>113</v>
      </c>
      <c r="C33" s="1" t="s">
        <v>114</v>
      </c>
    </row>
    <row r="35" spans="1:3" x14ac:dyDescent="0.25">
      <c r="B35" s="4" t="s">
        <v>117</v>
      </c>
    </row>
    <row r="36" spans="1:3" ht="30" x14ac:dyDescent="0.25">
      <c r="B36" s="4" t="s">
        <v>111</v>
      </c>
      <c r="C36" s="41" t="s">
        <v>116</v>
      </c>
    </row>
    <row r="37" spans="1:3" ht="45" x14ac:dyDescent="0.25">
      <c r="A37" s="2" t="s">
        <v>119</v>
      </c>
      <c r="B37" s="4" t="s">
        <v>113</v>
      </c>
      <c r="C37" s="42" t="s">
        <v>118</v>
      </c>
    </row>
  </sheetData>
  <mergeCells count="2">
    <mergeCell ref="A1:J1"/>
    <mergeCell ref="A2:J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25" workbookViewId="0">
      <selection activeCell="D26" sqref="D26"/>
    </sheetView>
  </sheetViews>
  <sheetFormatPr defaultRowHeight="16.5" x14ac:dyDescent="0.25"/>
  <cols>
    <col min="1" max="1" width="9.375" style="2" customWidth="1"/>
    <col min="2" max="2" width="8.375" style="4" customWidth="1"/>
    <col min="3" max="3" width="21.75" style="1" customWidth="1"/>
    <col min="4" max="4" width="24.25" style="1" customWidth="1"/>
    <col min="5" max="5" width="9.625" style="1" customWidth="1"/>
    <col min="6" max="6" width="9.375" style="3" customWidth="1"/>
    <col min="7" max="7" width="12.875" style="5" customWidth="1"/>
    <col min="8" max="8" width="7.625" style="3" customWidth="1"/>
    <col min="9" max="9" width="14.875" style="1" customWidth="1"/>
    <col min="10" max="10" width="12.625" style="1" customWidth="1"/>
    <col min="11" max="16384" width="9" style="1"/>
  </cols>
  <sheetData>
    <row r="1" spans="1:14" ht="3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4" ht="27.75" x14ac:dyDescent="0.25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</row>
    <row r="4" spans="1:14" s="3" customFormat="1" ht="21" customHeight="1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9</v>
      </c>
      <c r="J4" s="8" t="s">
        <v>10</v>
      </c>
    </row>
    <row r="5" spans="1:14" ht="39" x14ac:dyDescent="0.25">
      <c r="A5" s="16" t="s">
        <v>68</v>
      </c>
      <c r="B5" s="11">
        <v>43647</v>
      </c>
      <c r="C5" s="37" t="s">
        <v>69</v>
      </c>
      <c r="D5" s="15" t="s">
        <v>70</v>
      </c>
      <c r="E5" s="13" t="s">
        <v>71</v>
      </c>
      <c r="F5" s="13" t="s">
        <v>64</v>
      </c>
      <c r="G5" s="14">
        <v>0</v>
      </c>
      <c r="H5" s="13"/>
      <c r="I5" s="15" t="s">
        <v>24</v>
      </c>
      <c r="J5" s="12" t="s">
        <v>25</v>
      </c>
    </row>
    <row r="6" spans="1:14" ht="39" x14ac:dyDescent="0.25">
      <c r="A6" s="16" t="s">
        <v>72</v>
      </c>
      <c r="B6" s="11">
        <v>43647</v>
      </c>
      <c r="C6" s="34" t="s">
        <v>73</v>
      </c>
      <c r="D6" s="15" t="s">
        <v>70</v>
      </c>
      <c r="E6" s="13" t="s">
        <v>74</v>
      </c>
      <c r="F6" s="13" t="s">
        <v>64</v>
      </c>
      <c r="G6" s="14">
        <v>0</v>
      </c>
      <c r="H6" s="13"/>
      <c r="I6" s="15" t="s">
        <v>24</v>
      </c>
      <c r="J6" s="12" t="s">
        <v>25</v>
      </c>
    </row>
    <row r="7" spans="1:14" ht="23.25" customHeight="1" x14ac:dyDescent="0.25">
      <c r="A7" s="20" t="s">
        <v>75</v>
      </c>
      <c r="B7" s="11">
        <v>43647</v>
      </c>
      <c r="C7" s="34" t="s">
        <v>76</v>
      </c>
      <c r="D7" s="15" t="s">
        <v>70</v>
      </c>
      <c r="E7" s="13" t="s">
        <v>77</v>
      </c>
      <c r="F7" s="13" t="s">
        <v>63</v>
      </c>
      <c r="G7" s="14">
        <v>0</v>
      </c>
      <c r="H7" s="13"/>
      <c r="I7" s="12" t="s">
        <v>78</v>
      </c>
      <c r="J7" s="12" t="s">
        <v>79</v>
      </c>
    </row>
    <row r="8" spans="1:14" ht="23.25" customHeight="1" x14ac:dyDescent="0.25">
      <c r="A8" s="20" t="s">
        <v>80</v>
      </c>
      <c r="B8" s="11">
        <v>43647</v>
      </c>
      <c r="C8" s="36" t="s">
        <v>61</v>
      </c>
      <c r="D8" s="15" t="s">
        <v>62</v>
      </c>
      <c r="E8" s="13" t="s">
        <v>81</v>
      </c>
      <c r="F8" s="13" t="s">
        <v>63</v>
      </c>
      <c r="G8" s="14">
        <v>280</v>
      </c>
      <c r="H8" s="13"/>
      <c r="I8" s="12" t="s">
        <v>13</v>
      </c>
      <c r="J8" s="12" t="s">
        <v>21</v>
      </c>
    </row>
    <row r="9" spans="1:14" ht="39" customHeight="1" x14ac:dyDescent="0.25">
      <c r="A9" s="20" t="s">
        <v>82</v>
      </c>
      <c r="B9" s="11">
        <v>43650</v>
      </c>
      <c r="C9" s="34" t="s">
        <v>35</v>
      </c>
      <c r="D9" s="15" t="s">
        <v>36</v>
      </c>
      <c r="E9" s="13" t="s">
        <v>83</v>
      </c>
      <c r="F9" s="13" t="s">
        <v>84</v>
      </c>
      <c r="G9" s="14">
        <v>2235</v>
      </c>
      <c r="H9" s="13"/>
      <c r="I9" s="12" t="s">
        <v>13</v>
      </c>
      <c r="J9" s="12" t="s">
        <v>21</v>
      </c>
    </row>
    <row r="10" spans="1:14" ht="58.5" x14ac:dyDescent="0.25">
      <c r="A10" s="20" t="s">
        <v>85</v>
      </c>
      <c r="B10" s="11">
        <v>43651</v>
      </c>
      <c r="C10" s="34" t="s">
        <v>86</v>
      </c>
      <c r="D10" s="15" t="s">
        <v>87</v>
      </c>
      <c r="E10" s="13"/>
      <c r="F10" s="13" t="s">
        <v>64</v>
      </c>
      <c r="G10" s="14">
        <f>5*100+5*100+6*100</f>
        <v>1600</v>
      </c>
      <c r="H10" s="13"/>
      <c r="I10" s="15" t="s">
        <v>65</v>
      </c>
      <c r="J10" s="12" t="s">
        <v>66</v>
      </c>
    </row>
    <row r="11" spans="1:14" ht="24" customHeight="1" x14ac:dyDescent="0.25">
      <c r="A11" s="20" t="s">
        <v>88</v>
      </c>
      <c r="B11" s="11">
        <v>43654</v>
      </c>
      <c r="C11" s="36" t="s">
        <v>61</v>
      </c>
      <c r="D11" s="15" t="s">
        <v>89</v>
      </c>
      <c r="E11" s="13" t="s">
        <v>90</v>
      </c>
      <c r="F11" s="13" t="s">
        <v>37</v>
      </c>
      <c r="G11" s="14">
        <f>27*15</f>
        <v>405</v>
      </c>
      <c r="H11" s="13"/>
      <c r="I11" s="12" t="s">
        <v>13</v>
      </c>
      <c r="J11" s="12" t="s">
        <v>21</v>
      </c>
    </row>
    <row r="12" spans="1:14" ht="24" customHeight="1" x14ac:dyDescent="0.25">
      <c r="A12" s="20" t="s">
        <v>91</v>
      </c>
      <c r="B12" s="11">
        <v>43658</v>
      </c>
      <c r="C12" s="34" t="s">
        <v>92</v>
      </c>
      <c r="D12" s="15" t="s">
        <v>93</v>
      </c>
      <c r="E12" s="13" t="s">
        <v>94</v>
      </c>
      <c r="F12" s="13" t="s">
        <v>95</v>
      </c>
      <c r="G12" s="14">
        <f>37*50</f>
        <v>1850</v>
      </c>
      <c r="H12" s="13"/>
      <c r="I12" s="12" t="s">
        <v>13</v>
      </c>
      <c r="J12" s="12" t="s">
        <v>21</v>
      </c>
    </row>
    <row r="13" spans="1:14" ht="39" x14ac:dyDescent="0.25">
      <c r="A13" s="20" t="s">
        <v>96</v>
      </c>
      <c r="B13" s="11">
        <v>43658</v>
      </c>
      <c r="C13" s="34" t="s">
        <v>35</v>
      </c>
      <c r="D13" s="15" t="s">
        <v>36</v>
      </c>
      <c r="E13" s="13" t="s">
        <v>97</v>
      </c>
      <c r="F13" s="13" t="s">
        <v>37</v>
      </c>
      <c r="G13" s="14">
        <v>1425</v>
      </c>
      <c r="H13" s="13"/>
      <c r="I13" s="12" t="s">
        <v>13</v>
      </c>
      <c r="J13" s="12" t="s">
        <v>21</v>
      </c>
    </row>
    <row r="14" spans="1:14" ht="39" x14ac:dyDescent="0.25">
      <c r="A14" s="20" t="s">
        <v>98</v>
      </c>
      <c r="B14" s="11">
        <v>43663</v>
      </c>
      <c r="C14" s="34" t="s">
        <v>35</v>
      </c>
      <c r="D14" s="15" t="s">
        <v>36</v>
      </c>
      <c r="E14" s="8" t="s">
        <v>120</v>
      </c>
      <c r="F14" s="13" t="s">
        <v>37</v>
      </c>
      <c r="G14" s="14">
        <f>72*15</f>
        <v>1080</v>
      </c>
      <c r="H14" s="13"/>
      <c r="I14" s="12" t="s">
        <v>13</v>
      </c>
      <c r="J14" s="12" t="s">
        <v>21</v>
      </c>
      <c r="M14" s="1" t="s">
        <v>124</v>
      </c>
      <c r="N14" s="1">
        <v>20</v>
      </c>
    </row>
    <row r="15" spans="1:14" ht="24" customHeight="1" x14ac:dyDescent="0.25">
      <c r="A15" s="20" t="s">
        <v>99</v>
      </c>
      <c r="B15" s="11">
        <v>43663</v>
      </c>
      <c r="C15" s="34" t="s">
        <v>121</v>
      </c>
      <c r="D15" s="15" t="s">
        <v>122</v>
      </c>
      <c r="E15" s="8" t="s">
        <v>123</v>
      </c>
      <c r="F15" s="13" t="s">
        <v>126</v>
      </c>
      <c r="G15" s="14">
        <f>186*20</f>
        <v>3720</v>
      </c>
      <c r="H15" s="13"/>
      <c r="I15" s="12" t="s">
        <v>13</v>
      </c>
      <c r="J15" s="12" t="s">
        <v>34</v>
      </c>
      <c r="M15" s="1" t="s">
        <v>125</v>
      </c>
      <c r="N15" s="1">
        <v>12</v>
      </c>
    </row>
    <row r="16" spans="1:14" ht="24" customHeight="1" x14ac:dyDescent="0.25">
      <c r="A16" s="20" t="s">
        <v>100</v>
      </c>
      <c r="B16" s="11">
        <v>43665</v>
      </c>
      <c r="C16" s="34" t="s">
        <v>127</v>
      </c>
      <c r="D16" s="15" t="s">
        <v>128</v>
      </c>
      <c r="E16" s="8" t="s">
        <v>129</v>
      </c>
      <c r="F16" s="13" t="s">
        <v>130</v>
      </c>
      <c r="G16" s="14">
        <f>21*15</f>
        <v>315</v>
      </c>
      <c r="H16" s="13"/>
      <c r="I16" s="12" t="s">
        <v>13</v>
      </c>
      <c r="J16" s="12" t="s">
        <v>21</v>
      </c>
    </row>
    <row r="17" spans="1:10" ht="24" customHeight="1" x14ac:dyDescent="0.25">
      <c r="A17" s="20" t="s">
        <v>101</v>
      </c>
      <c r="B17" s="11">
        <v>43665</v>
      </c>
      <c r="C17" s="34" t="s">
        <v>131</v>
      </c>
      <c r="D17" s="15" t="s">
        <v>132</v>
      </c>
      <c r="E17" s="8" t="s">
        <v>133</v>
      </c>
      <c r="F17" s="13" t="s">
        <v>126</v>
      </c>
      <c r="G17" s="14">
        <f>26*30</f>
        <v>780</v>
      </c>
      <c r="H17" s="13"/>
      <c r="I17" s="12" t="s">
        <v>13</v>
      </c>
      <c r="J17" s="12" t="s">
        <v>21</v>
      </c>
    </row>
    <row r="18" spans="1:10" ht="24" customHeight="1" x14ac:dyDescent="0.25">
      <c r="A18" s="20" t="s">
        <v>102</v>
      </c>
      <c r="B18" s="11">
        <v>43669</v>
      </c>
      <c r="C18" s="34" t="s">
        <v>134</v>
      </c>
      <c r="D18" s="15" t="s">
        <v>132</v>
      </c>
      <c r="E18" s="8" t="s">
        <v>136</v>
      </c>
      <c r="F18" s="13" t="s">
        <v>135</v>
      </c>
      <c r="G18" s="14">
        <f>13*30</f>
        <v>390</v>
      </c>
      <c r="H18" s="13"/>
      <c r="I18" s="12" t="s">
        <v>13</v>
      </c>
      <c r="J18" s="12" t="s">
        <v>21</v>
      </c>
    </row>
    <row r="19" spans="1:10" ht="97.5" x14ac:dyDescent="0.25">
      <c r="A19" s="20" t="s">
        <v>103</v>
      </c>
      <c r="B19" s="11">
        <v>43671</v>
      </c>
      <c r="C19" s="34" t="s">
        <v>137</v>
      </c>
      <c r="D19" s="15" t="s">
        <v>138</v>
      </c>
      <c r="E19" s="8" t="s">
        <v>139</v>
      </c>
      <c r="F19" s="13" t="s">
        <v>140</v>
      </c>
      <c r="G19" s="14">
        <f>37*50</f>
        <v>1850</v>
      </c>
      <c r="H19" s="13"/>
      <c r="I19" s="12" t="s">
        <v>13</v>
      </c>
      <c r="J19" s="12" t="s">
        <v>21</v>
      </c>
    </row>
    <row r="20" spans="1:10" ht="39" x14ac:dyDescent="0.25">
      <c r="A20" s="20" t="s">
        <v>104</v>
      </c>
      <c r="B20" s="11">
        <v>43671</v>
      </c>
      <c r="C20" s="34" t="s">
        <v>141</v>
      </c>
      <c r="D20" s="15" t="s">
        <v>142</v>
      </c>
      <c r="E20" s="8"/>
      <c r="F20" s="13" t="s">
        <v>140</v>
      </c>
      <c r="G20" s="14">
        <f>5*50+24*20</f>
        <v>730</v>
      </c>
      <c r="H20" s="13"/>
      <c r="I20" s="15" t="s">
        <v>149</v>
      </c>
      <c r="J20" s="15" t="s">
        <v>148</v>
      </c>
    </row>
    <row r="21" spans="1:10" ht="25.5" customHeight="1" x14ac:dyDescent="0.25">
      <c r="A21" s="20" t="s">
        <v>105</v>
      </c>
      <c r="B21" s="11">
        <v>43671</v>
      </c>
      <c r="C21" s="34" t="s">
        <v>143</v>
      </c>
      <c r="D21" s="15" t="s">
        <v>122</v>
      </c>
      <c r="E21" s="8" t="s">
        <v>144</v>
      </c>
      <c r="F21" s="13" t="s">
        <v>126</v>
      </c>
      <c r="G21" s="14">
        <f>600*20</f>
        <v>12000</v>
      </c>
      <c r="H21" s="13"/>
      <c r="I21" s="12" t="s">
        <v>13</v>
      </c>
      <c r="J21" s="12" t="s">
        <v>14</v>
      </c>
    </row>
    <row r="22" spans="1:10" ht="39" x14ac:dyDescent="0.25">
      <c r="A22" s="20" t="s">
        <v>106</v>
      </c>
      <c r="B22" s="11">
        <v>43672</v>
      </c>
      <c r="C22" s="34" t="s">
        <v>35</v>
      </c>
      <c r="D22" s="15" t="s">
        <v>36</v>
      </c>
      <c r="E22" s="8" t="s">
        <v>145</v>
      </c>
      <c r="F22" s="13" t="s">
        <v>126</v>
      </c>
      <c r="G22" s="14">
        <f>45*15</f>
        <v>675</v>
      </c>
      <c r="H22" s="13"/>
      <c r="I22" s="12" t="s">
        <v>13</v>
      </c>
      <c r="J22" s="12" t="s">
        <v>21</v>
      </c>
    </row>
    <row r="23" spans="1:10" ht="24.75" customHeight="1" x14ac:dyDescent="0.25">
      <c r="A23" s="20" t="s">
        <v>107</v>
      </c>
      <c r="B23" s="11">
        <v>43674</v>
      </c>
      <c r="C23" s="34" t="s">
        <v>146</v>
      </c>
      <c r="D23" s="15" t="s">
        <v>122</v>
      </c>
      <c r="E23" s="8" t="s">
        <v>147</v>
      </c>
      <c r="F23" s="13" t="s">
        <v>126</v>
      </c>
      <c r="G23" s="14">
        <f>120*20</f>
        <v>2400</v>
      </c>
      <c r="H23" s="13"/>
      <c r="I23" s="12" t="s">
        <v>13</v>
      </c>
      <c r="J23" s="12" t="s">
        <v>14</v>
      </c>
    </row>
    <row r="24" spans="1:10" ht="97.5" x14ac:dyDescent="0.25">
      <c r="A24" s="20" t="s">
        <v>108</v>
      </c>
      <c r="B24" s="11">
        <v>43674</v>
      </c>
      <c r="C24" s="34" t="s">
        <v>150</v>
      </c>
      <c r="D24" s="15" t="s">
        <v>151</v>
      </c>
      <c r="E24" s="8"/>
      <c r="F24" s="14" t="s">
        <v>126</v>
      </c>
      <c r="G24" s="14">
        <f>100*20+99.4*40+20.4*15+56.4*10+22.5*5</f>
        <v>6958.5</v>
      </c>
      <c r="H24" s="13"/>
      <c r="I24" s="12" t="s">
        <v>13</v>
      </c>
      <c r="J24" s="12" t="s">
        <v>14</v>
      </c>
    </row>
    <row r="25" spans="1:10" ht="19.5" x14ac:dyDescent="0.25">
      <c r="A25" s="20"/>
      <c r="B25" s="11"/>
      <c r="C25" s="15"/>
      <c r="D25" s="15"/>
      <c r="E25" s="8"/>
      <c r="F25" s="13"/>
      <c r="G25" s="14"/>
      <c r="H25" s="13"/>
      <c r="I25" s="12"/>
      <c r="J25" s="12"/>
    </row>
    <row r="26" spans="1:10" ht="21" customHeight="1" x14ac:dyDescent="0.25">
      <c r="A26" s="10"/>
      <c r="B26" s="11"/>
      <c r="C26" s="15"/>
      <c r="D26" s="22" t="s">
        <v>19</v>
      </c>
      <c r="E26" s="13"/>
      <c r="F26" s="13"/>
      <c r="G26" s="14">
        <f>SUM(G5:G21)</f>
        <v>28660</v>
      </c>
      <c r="H26" s="13"/>
      <c r="I26" s="12"/>
      <c r="J26" s="12"/>
    </row>
    <row r="27" spans="1:10" ht="21" customHeight="1" x14ac:dyDescent="0.25">
      <c r="A27" s="23"/>
      <c r="B27" s="24"/>
      <c r="C27" s="25"/>
      <c r="D27" s="26"/>
      <c r="E27" s="27"/>
      <c r="F27" s="27"/>
      <c r="G27" s="28"/>
      <c r="H27" s="27"/>
      <c r="I27" s="29"/>
      <c r="J27" s="29"/>
    </row>
    <row r="28" spans="1:10" ht="19.5" x14ac:dyDescent="0.25">
      <c r="A28" s="17" t="s">
        <v>18</v>
      </c>
      <c r="B28" s="17"/>
      <c r="C28" s="17"/>
      <c r="D28" s="17"/>
      <c r="E28" s="17"/>
      <c r="F28" s="17"/>
      <c r="G28" s="17"/>
      <c r="H28" s="17"/>
      <c r="I28" s="17"/>
      <c r="J28" s="17"/>
    </row>
  </sheetData>
  <mergeCells count="2">
    <mergeCell ref="A1:J1"/>
    <mergeCell ref="A2:J2"/>
  </mergeCells>
  <phoneticPr fontId="4" type="noConversion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31" workbookViewId="0">
      <selection activeCell="C35" sqref="C35"/>
    </sheetView>
  </sheetViews>
  <sheetFormatPr defaultRowHeight="16.5" x14ac:dyDescent="0.25"/>
  <cols>
    <col min="1" max="1" width="9.375" style="2" customWidth="1"/>
    <col min="2" max="2" width="8.375" style="4" customWidth="1"/>
    <col min="3" max="3" width="20.875" style="1" customWidth="1"/>
    <col min="4" max="4" width="28.75" style="1" customWidth="1"/>
    <col min="5" max="5" width="9.625" style="1" customWidth="1"/>
    <col min="6" max="6" width="10.25" style="3" customWidth="1"/>
    <col min="7" max="7" width="12.875" style="5" customWidth="1"/>
    <col min="8" max="8" width="9.5" style="3" customWidth="1"/>
    <col min="9" max="9" width="14.625" style="1" customWidth="1"/>
    <col min="10" max="10" width="13.5" style="1" customWidth="1"/>
    <col min="11" max="16384" width="9" style="1"/>
  </cols>
  <sheetData>
    <row r="1" spans="1:10" ht="3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7.75" x14ac:dyDescent="0.25">
      <c r="A2" s="70" t="s">
        <v>152</v>
      </c>
      <c r="B2" s="70"/>
      <c r="C2" s="70"/>
      <c r="D2" s="70"/>
      <c r="E2" s="70"/>
      <c r="F2" s="70"/>
      <c r="G2" s="70"/>
      <c r="H2" s="70"/>
      <c r="I2" s="70"/>
      <c r="J2" s="70"/>
    </row>
    <row r="4" spans="1:10" s="3" customFormat="1" ht="20.25" customHeight="1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9</v>
      </c>
      <c r="J4" s="8" t="s">
        <v>10</v>
      </c>
    </row>
    <row r="5" spans="1:10" ht="19.5" x14ac:dyDescent="0.25">
      <c r="A5" s="16" t="s">
        <v>153</v>
      </c>
      <c r="B5" s="11">
        <v>43678</v>
      </c>
      <c r="C5" s="31" t="s">
        <v>154</v>
      </c>
      <c r="D5" s="15" t="s">
        <v>155</v>
      </c>
      <c r="E5" s="13"/>
      <c r="F5" s="13" t="s">
        <v>156</v>
      </c>
      <c r="G5" s="14">
        <v>550</v>
      </c>
      <c r="H5" s="13"/>
      <c r="I5" s="12" t="s">
        <v>13</v>
      </c>
      <c r="J5" s="12" t="s">
        <v>21</v>
      </c>
    </row>
    <row r="6" spans="1:10" ht="39" x14ac:dyDescent="0.25">
      <c r="A6" s="16" t="s">
        <v>157</v>
      </c>
      <c r="B6" s="11">
        <v>43678</v>
      </c>
      <c r="C6" s="34" t="s">
        <v>35</v>
      </c>
      <c r="D6" s="15" t="s">
        <v>36</v>
      </c>
      <c r="E6" s="13" t="s">
        <v>158</v>
      </c>
      <c r="F6" s="13" t="s">
        <v>159</v>
      </c>
      <c r="G6" s="14">
        <f>90*15</f>
        <v>1350</v>
      </c>
      <c r="H6" s="13"/>
      <c r="I6" s="12" t="s">
        <v>13</v>
      </c>
      <c r="J6" s="12" t="s">
        <v>21</v>
      </c>
    </row>
    <row r="7" spans="1:10" ht="39" x14ac:dyDescent="0.25">
      <c r="A7" s="20" t="s">
        <v>160</v>
      </c>
      <c r="B7" s="11">
        <v>43678</v>
      </c>
      <c r="C7" s="15" t="s">
        <v>161</v>
      </c>
      <c r="D7" s="15" t="s">
        <v>162</v>
      </c>
      <c r="E7" s="13"/>
      <c r="F7" s="13" t="s">
        <v>159</v>
      </c>
      <c r="G7" s="14">
        <f>114*20+100</f>
        <v>2380</v>
      </c>
      <c r="H7" s="13"/>
      <c r="I7" s="12" t="s">
        <v>13</v>
      </c>
      <c r="J7" s="12" t="s">
        <v>163</v>
      </c>
    </row>
    <row r="8" spans="1:10" ht="24.75" customHeight="1" x14ac:dyDescent="0.25">
      <c r="A8" s="20" t="s">
        <v>164</v>
      </c>
      <c r="B8" s="11">
        <v>43682</v>
      </c>
      <c r="C8" s="21" t="s">
        <v>173</v>
      </c>
      <c r="D8" s="15" t="s">
        <v>174</v>
      </c>
      <c r="E8" s="13" t="s">
        <v>175</v>
      </c>
      <c r="F8" s="13" t="s">
        <v>176</v>
      </c>
      <c r="G8" s="14">
        <f>500*12</f>
        <v>6000</v>
      </c>
      <c r="H8" s="13"/>
      <c r="I8" s="12" t="s">
        <v>13</v>
      </c>
      <c r="J8" s="12" t="s">
        <v>163</v>
      </c>
    </row>
    <row r="9" spans="1:10" ht="45.75" customHeight="1" x14ac:dyDescent="0.25">
      <c r="A9" s="20" t="s">
        <v>165</v>
      </c>
      <c r="B9" s="11">
        <v>43682</v>
      </c>
      <c r="C9" s="34" t="s">
        <v>35</v>
      </c>
      <c r="D9" s="15" t="s">
        <v>36</v>
      </c>
      <c r="E9" s="13" t="s">
        <v>177</v>
      </c>
      <c r="F9" s="13" t="s">
        <v>178</v>
      </c>
      <c r="G9" s="14">
        <f>62*15</f>
        <v>930</v>
      </c>
      <c r="H9" s="13"/>
      <c r="I9" s="12" t="s">
        <v>13</v>
      </c>
      <c r="J9" s="12" t="s">
        <v>21</v>
      </c>
    </row>
    <row r="10" spans="1:10" ht="24.75" customHeight="1" x14ac:dyDescent="0.25">
      <c r="A10" s="20" t="s">
        <v>166</v>
      </c>
      <c r="B10" s="11">
        <v>43683</v>
      </c>
      <c r="C10" s="31" t="s">
        <v>179</v>
      </c>
      <c r="D10" s="15" t="s">
        <v>180</v>
      </c>
      <c r="E10" s="13" t="s">
        <v>181</v>
      </c>
      <c r="F10" s="13" t="s">
        <v>182</v>
      </c>
      <c r="G10" s="14">
        <f>15*15</f>
        <v>225</v>
      </c>
      <c r="H10" s="13"/>
      <c r="I10" s="12" t="s">
        <v>13</v>
      </c>
      <c r="J10" s="12" t="s">
        <v>21</v>
      </c>
    </row>
    <row r="11" spans="1:10" ht="24.75" customHeight="1" x14ac:dyDescent="0.25">
      <c r="A11" s="20" t="s">
        <v>167</v>
      </c>
      <c r="B11" s="11">
        <v>43683</v>
      </c>
      <c r="C11" s="34" t="s">
        <v>183</v>
      </c>
      <c r="D11" s="15" t="s">
        <v>184</v>
      </c>
      <c r="E11" s="13" t="s">
        <v>185</v>
      </c>
      <c r="F11" s="13" t="s">
        <v>140</v>
      </c>
      <c r="G11" s="14">
        <f>60*30</f>
        <v>1800</v>
      </c>
      <c r="H11" s="13"/>
      <c r="I11" s="12" t="s">
        <v>13</v>
      </c>
      <c r="J11" s="12" t="s">
        <v>21</v>
      </c>
    </row>
    <row r="12" spans="1:10" ht="168.75" customHeight="1" x14ac:dyDescent="0.25">
      <c r="A12" s="20" t="s">
        <v>168</v>
      </c>
      <c r="B12" s="11">
        <v>43683</v>
      </c>
      <c r="C12" s="34" t="s">
        <v>186</v>
      </c>
      <c r="D12" s="15" t="s">
        <v>187</v>
      </c>
      <c r="E12" s="13"/>
      <c r="F12" s="13" t="s">
        <v>140</v>
      </c>
      <c r="G12" s="14">
        <f>13*80+18*50+13*20+16*50+18*70+12*50+6*20+14*50+42*20+12*10+12*10</f>
        <v>6760</v>
      </c>
      <c r="H12" s="13"/>
      <c r="I12" s="12" t="s">
        <v>13</v>
      </c>
      <c r="J12" s="12" t="s">
        <v>163</v>
      </c>
    </row>
    <row r="13" spans="1:10" ht="174" customHeight="1" x14ac:dyDescent="0.25">
      <c r="A13" s="20" t="s">
        <v>169</v>
      </c>
      <c r="B13" s="11">
        <v>43683</v>
      </c>
      <c r="C13" s="34" t="s">
        <v>188</v>
      </c>
      <c r="D13" s="15" t="s">
        <v>189</v>
      </c>
      <c r="E13" s="13"/>
      <c r="F13" s="13" t="s">
        <v>140</v>
      </c>
      <c r="G13" s="14">
        <f>156.8*20+37*20+91*15+124*40+69*30+88*30+150+70+48*30+2*138+2*85+2*100+4*100</f>
        <v>17617</v>
      </c>
      <c r="H13" s="13"/>
      <c r="I13" s="12" t="s">
        <v>13</v>
      </c>
      <c r="J13" s="12" t="s">
        <v>163</v>
      </c>
    </row>
    <row r="14" spans="1:10" ht="26.25" customHeight="1" x14ac:dyDescent="0.25">
      <c r="A14" s="20" t="s">
        <v>170</v>
      </c>
      <c r="B14" s="11">
        <v>43683</v>
      </c>
      <c r="C14" s="34" t="s">
        <v>190</v>
      </c>
      <c r="D14" s="15" t="s">
        <v>191</v>
      </c>
      <c r="E14" s="13"/>
      <c r="F14" s="13" t="s">
        <v>126</v>
      </c>
      <c r="G14" s="14">
        <f>6*250</f>
        <v>1500</v>
      </c>
      <c r="H14" s="13"/>
      <c r="I14" s="12" t="s">
        <v>13</v>
      </c>
      <c r="J14" s="12" t="s">
        <v>163</v>
      </c>
    </row>
    <row r="15" spans="1:10" ht="145.5" customHeight="1" x14ac:dyDescent="0.25">
      <c r="A15" s="20" t="s">
        <v>171</v>
      </c>
      <c r="B15" s="11">
        <v>43684</v>
      </c>
      <c r="C15" s="34" t="s">
        <v>192</v>
      </c>
      <c r="D15" s="15" t="s">
        <v>193</v>
      </c>
      <c r="E15" s="13"/>
      <c r="F15" s="13" t="s">
        <v>126</v>
      </c>
      <c r="G15" s="14">
        <f>20*20+20*10+2*18*20+20*50+20*80+20*35+14*10+20*10+16*10+150</f>
        <v>5270</v>
      </c>
      <c r="H15" s="13"/>
      <c r="I15" s="12" t="s">
        <v>13</v>
      </c>
      <c r="J15" s="12" t="s">
        <v>163</v>
      </c>
    </row>
    <row r="16" spans="1:10" ht="24.75" customHeight="1" x14ac:dyDescent="0.25">
      <c r="A16" s="20" t="s">
        <v>172</v>
      </c>
      <c r="B16" s="11"/>
      <c r="C16" s="34" t="s">
        <v>194</v>
      </c>
      <c r="D16" s="15"/>
      <c r="E16" s="8"/>
      <c r="F16" s="13"/>
      <c r="G16" s="14"/>
      <c r="H16" s="13"/>
      <c r="I16" s="12"/>
      <c r="J16" s="12"/>
    </row>
    <row r="17" spans="1:11" ht="69.75" customHeight="1" x14ac:dyDescent="0.25">
      <c r="A17" s="20" t="s">
        <v>195</v>
      </c>
      <c r="B17" s="11">
        <v>43682</v>
      </c>
      <c r="C17" s="36" t="s">
        <v>196</v>
      </c>
      <c r="D17" s="15" t="s">
        <v>197</v>
      </c>
      <c r="E17" s="13"/>
      <c r="F17" s="13" t="s">
        <v>198</v>
      </c>
      <c r="G17" s="14">
        <f>36*37.5+660*12+33.6*17.5+300+250+100</f>
        <v>10508</v>
      </c>
      <c r="H17" s="13"/>
      <c r="I17" s="12" t="s">
        <v>13</v>
      </c>
      <c r="J17" s="12" t="s">
        <v>163</v>
      </c>
    </row>
    <row r="18" spans="1:11" ht="39" x14ac:dyDescent="0.25">
      <c r="A18" s="20" t="s">
        <v>199</v>
      </c>
      <c r="B18" s="11">
        <v>43684</v>
      </c>
      <c r="C18" s="34" t="s">
        <v>200</v>
      </c>
      <c r="D18" s="15" t="s">
        <v>201</v>
      </c>
      <c r="E18" s="8"/>
      <c r="F18" s="13" t="s">
        <v>202</v>
      </c>
      <c r="G18" s="14">
        <f>20*17.5+24*17.5+3*100</f>
        <v>1070</v>
      </c>
      <c r="H18" s="13"/>
      <c r="I18" s="12" t="s">
        <v>13</v>
      </c>
      <c r="J18" s="12" t="s">
        <v>163</v>
      </c>
    </row>
    <row r="19" spans="1:11" ht="19.5" x14ac:dyDescent="0.25">
      <c r="A19" s="20" t="s">
        <v>203</v>
      </c>
      <c r="B19" s="11">
        <v>43685</v>
      </c>
      <c r="C19" s="34" t="s">
        <v>204</v>
      </c>
      <c r="D19" s="15" t="s">
        <v>205</v>
      </c>
      <c r="E19" s="8" t="s">
        <v>206</v>
      </c>
      <c r="F19" s="13" t="s">
        <v>207</v>
      </c>
      <c r="G19" s="14">
        <f>11.4*17.5</f>
        <v>199.5</v>
      </c>
      <c r="H19" s="13"/>
      <c r="I19" s="12" t="s">
        <v>13</v>
      </c>
      <c r="J19" s="12" t="s">
        <v>163</v>
      </c>
      <c r="K19" s="38"/>
    </row>
    <row r="20" spans="1:11" ht="19.5" x14ac:dyDescent="0.25">
      <c r="A20" s="20" t="s">
        <v>208</v>
      </c>
      <c r="B20" s="11">
        <v>43686</v>
      </c>
      <c r="C20" s="34" t="s">
        <v>209</v>
      </c>
      <c r="D20" s="15" t="s">
        <v>210</v>
      </c>
      <c r="E20" s="8"/>
      <c r="F20" s="13" t="s">
        <v>207</v>
      </c>
      <c r="G20" s="14">
        <f>30*35+12*20</f>
        <v>1290</v>
      </c>
      <c r="H20" s="13"/>
      <c r="I20" s="12" t="s">
        <v>211</v>
      </c>
      <c r="J20" s="12" t="s">
        <v>212</v>
      </c>
      <c r="K20" s="38"/>
    </row>
    <row r="21" spans="1:11" ht="19.5" x14ac:dyDescent="0.25">
      <c r="A21" s="20" t="s">
        <v>213</v>
      </c>
      <c r="B21" s="11"/>
      <c r="C21" s="34" t="s">
        <v>214</v>
      </c>
      <c r="D21" s="15"/>
      <c r="E21" s="8"/>
      <c r="F21" s="13"/>
      <c r="G21" s="14"/>
      <c r="H21" s="13"/>
      <c r="I21" s="12"/>
      <c r="J21" s="12"/>
      <c r="K21" s="38"/>
    </row>
    <row r="22" spans="1:11" ht="29.25" customHeight="1" x14ac:dyDescent="0.25">
      <c r="A22" s="20" t="s">
        <v>215</v>
      </c>
      <c r="B22" s="11">
        <v>43687</v>
      </c>
      <c r="C22" s="34" t="s">
        <v>216</v>
      </c>
      <c r="D22" s="15" t="s">
        <v>218</v>
      </c>
      <c r="E22" s="8"/>
      <c r="F22" s="13" t="s">
        <v>217</v>
      </c>
      <c r="G22" s="14">
        <f>30*12+9.6*17.5</f>
        <v>528</v>
      </c>
      <c r="H22" s="13"/>
      <c r="I22" s="12" t="s">
        <v>13</v>
      </c>
      <c r="J22" s="12" t="s">
        <v>163</v>
      </c>
      <c r="K22" s="38"/>
    </row>
    <row r="23" spans="1:11" ht="19.5" x14ac:dyDescent="0.25">
      <c r="A23" s="20" t="s">
        <v>219</v>
      </c>
      <c r="B23" s="11">
        <v>43687</v>
      </c>
      <c r="C23" s="36" t="s">
        <v>220</v>
      </c>
      <c r="D23" s="15" t="s">
        <v>221</v>
      </c>
      <c r="E23" s="8" t="s">
        <v>222</v>
      </c>
      <c r="F23" s="13" t="s">
        <v>217</v>
      </c>
      <c r="G23" s="14">
        <f>400*12</f>
        <v>4800</v>
      </c>
      <c r="H23" s="13"/>
      <c r="I23" s="12" t="s">
        <v>13</v>
      </c>
      <c r="J23" s="12" t="s">
        <v>163</v>
      </c>
      <c r="K23" s="38"/>
    </row>
    <row r="24" spans="1:11" ht="19.5" x14ac:dyDescent="0.25">
      <c r="A24" s="20" t="s">
        <v>223</v>
      </c>
      <c r="B24" s="11">
        <v>43687</v>
      </c>
      <c r="C24" s="34" t="s">
        <v>224</v>
      </c>
      <c r="D24" s="15" t="s">
        <v>221</v>
      </c>
      <c r="E24" s="8" t="s">
        <v>225</v>
      </c>
      <c r="F24" s="13" t="s">
        <v>217</v>
      </c>
      <c r="G24" s="14">
        <f>100*12</f>
        <v>1200</v>
      </c>
      <c r="H24" s="13"/>
      <c r="I24" s="12" t="s">
        <v>13</v>
      </c>
      <c r="J24" s="12" t="s">
        <v>163</v>
      </c>
      <c r="K24" s="38"/>
    </row>
    <row r="25" spans="1:11" ht="39" x14ac:dyDescent="0.25">
      <c r="A25" s="20" t="s">
        <v>226</v>
      </c>
      <c r="B25" s="11">
        <v>43687</v>
      </c>
      <c r="C25" s="34" t="s">
        <v>227</v>
      </c>
      <c r="D25" s="15" t="s">
        <v>228</v>
      </c>
      <c r="E25" s="8"/>
      <c r="F25" s="13" t="s">
        <v>217</v>
      </c>
      <c r="G25" s="14">
        <f>27*20+7.5*10+9.6*20</f>
        <v>807</v>
      </c>
      <c r="H25" s="13"/>
      <c r="I25" s="12" t="s">
        <v>13</v>
      </c>
      <c r="J25" s="12" t="s">
        <v>163</v>
      </c>
      <c r="K25" s="29"/>
    </row>
    <row r="26" spans="1:11" ht="19.5" x14ac:dyDescent="0.25">
      <c r="A26" s="20" t="s">
        <v>229</v>
      </c>
      <c r="B26" s="11">
        <v>43688</v>
      </c>
      <c r="C26" s="15" t="s">
        <v>230</v>
      </c>
      <c r="D26" s="15" t="s">
        <v>221</v>
      </c>
      <c r="E26" s="8" t="s">
        <v>231</v>
      </c>
      <c r="F26" s="13" t="s">
        <v>198</v>
      </c>
      <c r="G26" s="14">
        <f>500*12</f>
        <v>6000</v>
      </c>
      <c r="H26" s="13"/>
      <c r="I26" s="12" t="s">
        <v>13</v>
      </c>
      <c r="J26" s="12" t="s">
        <v>163</v>
      </c>
      <c r="K26" s="38"/>
    </row>
    <row r="27" spans="1:11" ht="19.5" x14ac:dyDescent="0.25">
      <c r="A27" s="20" t="s">
        <v>232</v>
      </c>
      <c r="B27" s="11">
        <v>43689</v>
      </c>
      <c r="C27" s="21" t="s">
        <v>237</v>
      </c>
      <c r="D27" s="15" t="s">
        <v>221</v>
      </c>
      <c r="E27" s="8" t="s">
        <v>238</v>
      </c>
      <c r="F27" s="13" t="s">
        <v>207</v>
      </c>
      <c r="G27" s="14">
        <f>20*70</f>
        <v>1400</v>
      </c>
      <c r="H27" s="13"/>
      <c r="I27" s="12" t="s">
        <v>13</v>
      </c>
      <c r="J27" s="12" t="s">
        <v>163</v>
      </c>
    </row>
    <row r="28" spans="1:11" ht="19.5" x14ac:dyDescent="0.25">
      <c r="A28" s="20" t="s">
        <v>233</v>
      </c>
      <c r="B28" s="11">
        <v>43689</v>
      </c>
      <c r="C28" s="15" t="s">
        <v>239</v>
      </c>
      <c r="D28" s="15" t="s">
        <v>221</v>
      </c>
      <c r="E28" s="8" t="s">
        <v>240</v>
      </c>
      <c r="F28" s="13" t="s">
        <v>207</v>
      </c>
      <c r="G28" s="14">
        <f>140*20</f>
        <v>2800</v>
      </c>
      <c r="H28" s="13"/>
      <c r="I28" s="12" t="s">
        <v>13</v>
      </c>
      <c r="J28" s="12" t="s">
        <v>163</v>
      </c>
    </row>
    <row r="29" spans="1:11" ht="39" x14ac:dyDescent="0.25">
      <c r="A29" s="20" t="s">
        <v>234</v>
      </c>
      <c r="B29" s="11">
        <v>43689</v>
      </c>
      <c r="C29" s="15" t="s">
        <v>241</v>
      </c>
      <c r="D29" s="15" t="s">
        <v>242</v>
      </c>
      <c r="E29" s="8"/>
      <c r="F29" s="13" t="s">
        <v>207</v>
      </c>
      <c r="G29" s="14">
        <f>180*20+9*100+60*40</f>
        <v>6900</v>
      </c>
      <c r="H29" s="13"/>
      <c r="I29" s="12" t="s">
        <v>13</v>
      </c>
      <c r="J29" s="12" t="s">
        <v>163</v>
      </c>
    </row>
    <row r="30" spans="1:11" ht="117" x14ac:dyDescent="0.25">
      <c r="A30" s="20" t="s">
        <v>625</v>
      </c>
      <c r="B30" s="11">
        <v>43689</v>
      </c>
      <c r="C30" s="34" t="s">
        <v>47</v>
      </c>
      <c r="D30" s="15" t="s">
        <v>626</v>
      </c>
      <c r="E30" s="8"/>
      <c r="F30" s="13" t="s">
        <v>37</v>
      </c>
      <c r="G30" s="14"/>
      <c r="H30" s="13"/>
      <c r="I30" s="12" t="s">
        <v>13</v>
      </c>
      <c r="J30" s="12" t="s">
        <v>14</v>
      </c>
    </row>
    <row r="31" spans="1:11" ht="67.5" customHeight="1" x14ac:dyDescent="0.25">
      <c r="A31" s="20" t="s">
        <v>235</v>
      </c>
      <c r="B31" s="11">
        <v>43690</v>
      </c>
      <c r="C31" s="15" t="s">
        <v>243</v>
      </c>
      <c r="D31" s="15" t="s">
        <v>244</v>
      </c>
      <c r="E31" s="8"/>
      <c r="F31" s="13" t="s">
        <v>207</v>
      </c>
      <c r="G31" s="14">
        <f>735.6*20+16.1*40+36*40.5+53.9*44</f>
        <v>19185.599999999999</v>
      </c>
      <c r="H31" s="13"/>
      <c r="I31" s="12" t="s">
        <v>13</v>
      </c>
      <c r="J31" s="12" t="s">
        <v>163</v>
      </c>
    </row>
    <row r="32" spans="1:11" ht="19.5" x14ac:dyDescent="0.25">
      <c r="A32" s="20" t="s">
        <v>236</v>
      </c>
      <c r="B32" s="11">
        <v>43692</v>
      </c>
      <c r="C32" s="31" t="s">
        <v>245</v>
      </c>
      <c r="D32" s="15" t="s">
        <v>246</v>
      </c>
      <c r="E32" s="13"/>
      <c r="F32" s="13" t="s">
        <v>247</v>
      </c>
      <c r="G32" s="14">
        <f>4*150</f>
        <v>600</v>
      </c>
      <c r="H32" s="13"/>
      <c r="I32" s="12" t="s">
        <v>211</v>
      </c>
      <c r="J32" s="12" t="s">
        <v>212</v>
      </c>
    </row>
    <row r="33" spans="1:10" ht="19.5" x14ac:dyDescent="0.25">
      <c r="A33" s="20" t="s">
        <v>248</v>
      </c>
      <c r="B33" s="11">
        <v>43692</v>
      </c>
      <c r="C33" s="31" t="s">
        <v>255</v>
      </c>
      <c r="D33" s="15" t="s">
        <v>256</v>
      </c>
      <c r="E33" s="13"/>
      <c r="F33" s="13" t="s">
        <v>198</v>
      </c>
      <c r="G33" s="14">
        <v>1000</v>
      </c>
      <c r="H33" s="13"/>
      <c r="I33" s="12" t="s">
        <v>13</v>
      </c>
      <c r="J33" s="12" t="s">
        <v>163</v>
      </c>
    </row>
    <row r="34" spans="1:10" ht="19.5" x14ac:dyDescent="0.25">
      <c r="A34" s="20" t="s">
        <v>621</v>
      </c>
      <c r="B34" s="11">
        <v>43692</v>
      </c>
      <c r="C34" s="31" t="s">
        <v>622</v>
      </c>
      <c r="D34" s="15" t="s">
        <v>623</v>
      </c>
      <c r="E34" s="13" t="s">
        <v>624</v>
      </c>
      <c r="F34" s="13" t="s">
        <v>37</v>
      </c>
      <c r="G34" s="14">
        <v>1680</v>
      </c>
      <c r="H34" s="13"/>
      <c r="I34" s="12" t="s">
        <v>15</v>
      </c>
      <c r="J34" s="12" t="s">
        <v>14</v>
      </c>
    </row>
    <row r="35" spans="1:10" ht="58.5" x14ac:dyDescent="0.25">
      <c r="A35" s="20" t="s">
        <v>249</v>
      </c>
      <c r="B35" s="11">
        <v>43693</v>
      </c>
      <c r="C35" s="15" t="s">
        <v>257</v>
      </c>
      <c r="D35" s="15" t="s">
        <v>258</v>
      </c>
      <c r="E35" s="8"/>
      <c r="F35" s="13" t="s">
        <v>207</v>
      </c>
      <c r="G35" s="14">
        <f>350*12+30*40+88.8*40+51*40</f>
        <v>10992</v>
      </c>
      <c r="H35" s="13"/>
      <c r="I35" s="12" t="s">
        <v>13</v>
      </c>
      <c r="J35" s="12" t="s">
        <v>163</v>
      </c>
    </row>
    <row r="36" spans="1:10" ht="39" x14ac:dyDescent="0.25">
      <c r="A36" s="20" t="s">
        <v>250</v>
      </c>
      <c r="B36" s="11">
        <v>43693</v>
      </c>
      <c r="C36" s="15" t="s">
        <v>259</v>
      </c>
      <c r="D36" s="15" t="s">
        <v>260</v>
      </c>
      <c r="E36" s="8"/>
      <c r="F36" s="13" t="s">
        <v>207</v>
      </c>
      <c r="G36" s="14">
        <f>36*20+30*150</f>
        <v>5220</v>
      </c>
      <c r="H36" s="13"/>
      <c r="I36" s="12" t="s">
        <v>13</v>
      </c>
      <c r="J36" s="12" t="s">
        <v>163</v>
      </c>
    </row>
    <row r="37" spans="1:10" ht="19.5" x14ac:dyDescent="0.25">
      <c r="A37" s="20" t="s">
        <v>251</v>
      </c>
      <c r="B37" s="11">
        <v>43694</v>
      </c>
      <c r="C37" s="31" t="s">
        <v>261</v>
      </c>
      <c r="D37" s="15" t="s">
        <v>262</v>
      </c>
      <c r="E37" s="13"/>
      <c r="F37" s="13" t="s">
        <v>263</v>
      </c>
      <c r="G37" s="14">
        <f>15*150</f>
        <v>2250</v>
      </c>
      <c r="H37" s="13"/>
      <c r="I37" s="12" t="s">
        <v>13</v>
      </c>
      <c r="J37" s="12" t="s">
        <v>163</v>
      </c>
    </row>
    <row r="38" spans="1:10" ht="19.5" x14ac:dyDescent="0.25">
      <c r="A38" s="20" t="s">
        <v>252</v>
      </c>
      <c r="B38" s="11">
        <v>43694</v>
      </c>
      <c r="C38" s="15" t="s">
        <v>264</v>
      </c>
      <c r="D38" s="15" t="s">
        <v>262</v>
      </c>
      <c r="E38" s="8"/>
      <c r="F38" s="13" t="s">
        <v>263</v>
      </c>
      <c r="G38" s="14">
        <f>15*150</f>
        <v>2250</v>
      </c>
      <c r="H38" s="13"/>
      <c r="I38" s="12" t="s">
        <v>13</v>
      </c>
      <c r="J38" s="12" t="s">
        <v>163</v>
      </c>
    </row>
    <row r="39" spans="1:10" ht="19.5" x14ac:dyDescent="0.25">
      <c r="A39" s="20" t="s">
        <v>253</v>
      </c>
      <c r="B39" s="11">
        <v>43694</v>
      </c>
      <c r="C39" s="15" t="s">
        <v>267</v>
      </c>
      <c r="D39" s="15" t="s">
        <v>262</v>
      </c>
      <c r="E39" s="8"/>
      <c r="F39" s="13" t="s">
        <v>263</v>
      </c>
      <c r="G39" s="14">
        <v>2250</v>
      </c>
      <c r="H39" s="13"/>
      <c r="I39" s="12" t="s">
        <v>13</v>
      </c>
      <c r="J39" s="12" t="s">
        <v>163</v>
      </c>
    </row>
    <row r="40" spans="1:10" ht="19.5" x14ac:dyDescent="0.25">
      <c r="A40" s="20" t="s">
        <v>254</v>
      </c>
      <c r="B40" s="11">
        <v>43694</v>
      </c>
      <c r="C40" s="31" t="s">
        <v>268</v>
      </c>
      <c r="D40" s="15" t="s">
        <v>262</v>
      </c>
      <c r="E40" s="13"/>
      <c r="F40" s="13" t="s">
        <v>263</v>
      </c>
      <c r="G40" s="14">
        <v>2250</v>
      </c>
      <c r="H40" s="13"/>
      <c r="I40" s="12" t="s">
        <v>13</v>
      </c>
      <c r="J40" s="12" t="s">
        <v>163</v>
      </c>
    </row>
    <row r="41" spans="1:10" ht="29.25" customHeight="1" x14ac:dyDescent="0.25">
      <c r="A41" s="20" t="s">
        <v>265</v>
      </c>
      <c r="B41" s="11">
        <v>43692</v>
      </c>
      <c r="C41" s="15" t="s">
        <v>269</v>
      </c>
      <c r="D41" s="15" t="s">
        <v>270</v>
      </c>
      <c r="E41" s="8"/>
      <c r="F41" s="13" t="s">
        <v>207</v>
      </c>
      <c r="G41" s="14">
        <f>500*8</f>
        <v>4000</v>
      </c>
      <c r="H41" s="13"/>
      <c r="I41" s="12" t="s">
        <v>13</v>
      </c>
      <c r="J41" s="12" t="s">
        <v>163</v>
      </c>
    </row>
    <row r="42" spans="1:10" ht="27.75" customHeight="1" x14ac:dyDescent="0.25">
      <c r="A42" s="20" t="s">
        <v>266</v>
      </c>
      <c r="B42" s="11">
        <v>43694</v>
      </c>
      <c r="C42" s="15" t="s">
        <v>269</v>
      </c>
      <c r="D42" s="15" t="s">
        <v>276</v>
      </c>
      <c r="E42" s="8"/>
      <c r="F42" s="13" t="s">
        <v>207</v>
      </c>
      <c r="G42" s="14">
        <v>4000</v>
      </c>
      <c r="H42" s="13"/>
      <c r="I42" s="12" t="s">
        <v>13</v>
      </c>
      <c r="J42" s="12" t="s">
        <v>163</v>
      </c>
    </row>
    <row r="43" spans="1:10" ht="19.5" x14ac:dyDescent="0.25">
      <c r="A43" s="20" t="s">
        <v>271</v>
      </c>
      <c r="B43" s="11"/>
      <c r="C43" s="31" t="s">
        <v>194</v>
      </c>
      <c r="D43" s="15"/>
      <c r="E43" s="13"/>
      <c r="F43" s="13"/>
      <c r="G43" s="14"/>
      <c r="H43" s="13"/>
      <c r="I43" s="12"/>
      <c r="J43" s="12"/>
    </row>
    <row r="44" spans="1:10" ht="19.5" x14ac:dyDescent="0.25">
      <c r="A44" s="20" t="s">
        <v>272</v>
      </c>
      <c r="B44" s="11">
        <v>43696</v>
      </c>
      <c r="C44" s="15" t="s">
        <v>277</v>
      </c>
      <c r="D44" s="15" t="s">
        <v>262</v>
      </c>
      <c r="E44" s="8"/>
      <c r="F44" s="13" t="s">
        <v>207</v>
      </c>
      <c r="G44" s="14">
        <v>2000</v>
      </c>
      <c r="H44" s="13"/>
      <c r="I44" s="12" t="s">
        <v>13</v>
      </c>
      <c r="J44" s="12" t="s">
        <v>163</v>
      </c>
    </row>
    <row r="45" spans="1:10" ht="19.5" x14ac:dyDescent="0.25">
      <c r="A45" s="20" t="s">
        <v>273</v>
      </c>
      <c r="B45" s="11">
        <v>43696</v>
      </c>
      <c r="C45" s="15" t="s">
        <v>278</v>
      </c>
      <c r="D45" s="15" t="s">
        <v>262</v>
      </c>
      <c r="E45" s="8"/>
      <c r="F45" s="13" t="s">
        <v>207</v>
      </c>
      <c r="G45" s="14">
        <v>3000</v>
      </c>
      <c r="H45" s="13"/>
      <c r="I45" s="12" t="s">
        <v>13</v>
      </c>
      <c r="J45" s="12" t="s">
        <v>163</v>
      </c>
    </row>
    <row r="46" spans="1:10" ht="39" x14ac:dyDescent="0.25">
      <c r="A46" s="20" t="s">
        <v>274</v>
      </c>
      <c r="B46" s="11">
        <v>43696</v>
      </c>
      <c r="C46" s="34" t="s">
        <v>35</v>
      </c>
      <c r="D46" s="15" t="s">
        <v>36</v>
      </c>
      <c r="E46" s="13" t="s">
        <v>279</v>
      </c>
      <c r="F46" s="13" t="s">
        <v>207</v>
      </c>
      <c r="G46" s="14">
        <f>111*15</f>
        <v>1665</v>
      </c>
      <c r="H46" s="13"/>
      <c r="I46" s="12" t="s">
        <v>13</v>
      </c>
      <c r="J46" s="12" t="s">
        <v>311</v>
      </c>
    </row>
    <row r="47" spans="1:10" ht="78" x14ac:dyDescent="0.25">
      <c r="A47" s="20" t="s">
        <v>275</v>
      </c>
      <c r="B47" s="11">
        <v>43697</v>
      </c>
      <c r="C47" s="15" t="s">
        <v>280</v>
      </c>
      <c r="D47" s="15" t="s">
        <v>281</v>
      </c>
      <c r="E47" s="8"/>
      <c r="F47" s="13" t="s">
        <v>247</v>
      </c>
      <c r="G47" s="14">
        <f>150+150*12+4*250+500+500+500+500</f>
        <v>4950</v>
      </c>
      <c r="H47" s="13"/>
      <c r="I47" s="12" t="s">
        <v>13</v>
      </c>
      <c r="J47" s="12" t="s">
        <v>163</v>
      </c>
    </row>
    <row r="48" spans="1:10" ht="19.5" x14ac:dyDescent="0.25">
      <c r="A48" s="20" t="s">
        <v>282</v>
      </c>
      <c r="B48" s="11">
        <v>43698</v>
      </c>
      <c r="C48" s="15" t="s">
        <v>285</v>
      </c>
      <c r="D48" s="15" t="s">
        <v>221</v>
      </c>
      <c r="E48" s="8" t="s">
        <v>286</v>
      </c>
      <c r="F48" s="13" t="s">
        <v>207</v>
      </c>
      <c r="G48" s="14">
        <f>60*20</f>
        <v>1200</v>
      </c>
      <c r="H48" s="13"/>
      <c r="I48" s="12" t="s">
        <v>13</v>
      </c>
      <c r="J48" s="12" t="s">
        <v>163</v>
      </c>
    </row>
    <row r="49" spans="1:10" ht="33" customHeight="1" x14ac:dyDescent="0.25">
      <c r="A49" s="20" t="s">
        <v>283</v>
      </c>
      <c r="B49" s="11">
        <v>43698</v>
      </c>
      <c r="C49" s="31" t="s">
        <v>297</v>
      </c>
      <c r="D49" s="15" t="s">
        <v>305</v>
      </c>
      <c r="E49" s="13"/>
      <c r="F49" s="13" t="s">
        <v>207</v>
      </c>
      <c r="G49" s="14">
        <f>500*12+1500</f>
        <v>7500</v>
      </c>
      <c r="H49" s="13"/>
      <c r="I49" s="15" t="s">
        <v>306</v>
      </c>
      <c r="J49" s="12" t="s">
        <v>163</v>
      </c>
    </row>
    <row r="50" spans="1:10" ht="38.25" customHeight="1" x14ac:dyDescent="0.25">
      <c r="A50" s="20" t="s">
        <v>284</v>
      </c>
      <c r="B50" s="11">
        <v>43698</v>
      </c>
      <c r="C50" s="15" t="s">
        <v>298</v>
      </c>
      <c r="D50" s="15" t="s">
        <v>221</v>
      </c>
      <c r="E50" s="8" t="s">
        <v>286</v>
      </c>
      <c r="F50" s="13" t="s">
        <v>207</v>
      </c>
      <c r="G50" s="43">
        <f>60*20</f>
        <v>1200</v>
      </c>
      <c r="H50" s="13"/>
      <c r="I50" s="12" t="s">
        <v>13</v>
      </c>
      <c r="J50" s="12" t="s">
        <v>163</v>
      </c>
    </row>
    <row r="51" spans="1:10" ht="19.5" x14ac:dyDescent="0.25">
      <c r="A51" s="20" t="s">
        <v>287</v>
      </c>
      <c r="B51" s="11">
        <v>43698</v>
      </c>
      <c r="C51" s="15" t="s">
        <v>299</v>
      </c>
      <c r="D51" s="15" t="s">
        <v>221</v>
      </c>
      <c r="E51" s="8" t="s">
        <v>300</v>
      </c>
      <c r="F51" s="13" t="s">
        <v>217</v>
      </c>
      <c r="G51" s="14">
        <f>30*20</f>
        <v>600</v>
      </c>
      <c r="H51" s="13"/>
      <c r="I51" s="12" t="s">
        <v>13</v>
      </c>
      <c r="J51" s="12" t="s">
        <v>163</v>
      </c>
    </row>
    <row r="52" spans="1:10" ht="19.5" x14ac:dyDescent="0.25">
      <c r="A52" s="20" t="s">
        <v>288</v>
      </c>
      <c r="B52" s="11">
        <v>43699</v>
      </c>
      <c r="C52" s="31" t="s">
        <v>301</v>
      </c>
      <c r="D52" s="15" t="s">
        <v>302</v>
      </c>
      <c r="E52" s="13"/>
      <c r="F52" s="13" t="s">
        <v>303</v>
      </c>
      <c r="G52" s="14">
        <v>300</v>
      </c>
      <c r="H52" s="13"/>
      <c r="I52" s="12" t="s">
        <v>13</v>
      </c>
      <c r="J52" s="12" t="s">
        <v>163</v>
      </c>
    </row>
    <row r="53" spans="1:10" ht="39" x14ac:dyDescent="0.25">
      <c r="A53" s="20" t="s">
        <v>289</v>
      </c>
      <c r="B53" s="11">
        <v>43697</v>
      </c>
      <c r="C53" s="15" t="s">
        <v>304</v>
      </c>
      <c r="D53" s="15" t="s">
        <v>307</v>
      </c>
      <c r="E53" s="8"/>
      <c r="F53" s="13" t="s">
        <v>207</v>
      </c>
      <c r="G53" s="14">
        <f>18*10+56*15</f>
        <v>1020</v>
      </c>
      <c r="H53" s="13"/>
      <c r="I53" s="12" t="s">
        <v>211</v>
      </c>
      <c r="J53" s="12" t="s">
        <v>212</v>
      </c>
    </row>
    <row r="54" spans="1:10" ht="19.5" x14ac:dyDescent="0.25">
      <c r="A54" s="20" t="s">
        <v>290</v>
      </c>
      <c r="B54" s="11">
        <v>43700</v>
      </c>
      <c r="C54" s="15" t="s">
        <v>308</v>
      </c>
      <c r="D54" s="15" t="s">
        <v>309</v>
      </c>
      <c r="E54" s="8" t="s">
        <v>310</v>
      </c>
      <c r="F54" s="13" t="s">
        <v>202</v>
      </c>
      <c r="G54" s="14">
        <f>55*15</f>
        <v>825</v>
      </c>
      <c r="H54" s="13"/>
      <c r="I54" s="12" t="s">
        <v>13</v>
      </c>
      <c r="J54" s="12" t="s">
        <v>311</v>
      </c>
    </row>
    <row r="55" spans="1:10" ht="19.5" x14ac:dyDescent="0.25">
      <c r="A55" s="20" t="s">
        <v>291</v>
      </c>
      <c r="B55" s="11">
        <v>43700</v>
      </c>
      <c r="C55" s="15" t="s">
        <v>312</v>
      </c>
      <c r="D55" s="15" t="s">
        <v>313</v>
      </c>
      <c r="E55" s="8" t="s">
        <v>314</v>
      </c>
      <c r="F55" s="13" t="s">
        <v>207</v>
      </c>
      <c r="G55" s="14">
        <v>500</v>
      </c>
      <c r="H55" s="13"/>
      <c r="I55" s="12" t="s">
        <v>315</v>
      </c>
      <c r="J55" s="12"/>
    </row>
    <row r="56" spans="1:10" ht="39" x14ac:dyDescent="0.25">
      <c r="A56" s="20" t="s">
        <v>292</v>
      </c>
      <c r="B56" s="11">
        <v>43700</v>
      </c>
      <c r="C56" s="34" t="s">
        <v>35</v>
      </c>
      <c r="D56" s="15" t="s">
        <v>36</v>
      </c>
      <c r="E56" s="13" t="s">
        <v>316</v>
      </c>
      <c r="F56" s="13" t="s">
        <v>207</v>
      </c>
      <c r="G56" s="14">
        <f>63*15</f>
        <v>945</v>
      </c>
      <c r="H56" s="13"/>
      <c r="I56" s="12" t="s">
        <v>13</v>
      </c>
      <c r="J56" s="12" t="s">
        <v>311</v>
      </c>
    </row>
    <row r="57" spans="1:10" ht="27" customHeight="1" x14ac:dyDescent="0.25">
      <c r="A57" s="20" t="s">
        <v>293</v>
      </c>
      <c r="B57" s="11">
        <v>43688</v>
      </c>
      <c r="C57" s="31" t="s">
        <v>317</v>
      </c>
      <c r="D57" s="15" t="s">
        <v>318</v>
      </c>
      <c r="E57" s="13"/>
      <c r="F57" s="13" t="s">
        <v>207</v>
      </c>
      <c r="G57" s="14">
        <f>1500*12</f>
        <v>18000</v>
      </c>
      <c r="H57" s="13"/>
      <c r="I57" s="12" t="s">
        <v>13</v>
      </c>
      <c r="J57" s="12" t="s">
        <v>163</v>
      </c>
    </row>
    <row r="58" spans="1:10" ht="19.5" x14ac:dyDescent="0.25">
      <c r="A58" s="20" t="s">
        <v>294</v>
      </c>
      <c r="B58" s="11">
        <v>43702</v>
      </c>
      <c r="C58" s="31" t="s">
        <v>319</v>
      </c>
      <c r="D58" s="15" t="s">
        <v>262</v>
      </c>
      <c r="E58" s="13"/>
      <c r="F58" s="13" t="s">
        <v>320</v>
      </c>
      <c r="G58" s="14">
        <v>1500</v>
      </c>
      <c r="H58" s="13"/>
      <c r="I58" s="12" t="s">
        <v>13</v>
      </c>
      <c r="J58" s="12" t="s">
        <v>163</v>
      </c>
    </row>
    <row r="59" spans="1:10" ht="19.5" x14ac:dyDescent="0.25">
      <c r="A59" s="20" t="s">
        <v>295</v>
      </c>
      <c r="B59" s="11">
        <v>43703</v>
      </c>
      <c r="C59" s="15" t="s">
        <v>321</v>
      </c>
      <c r="D59" s="15" t="s">
        <v>322</v>
      </c>
      <c r="E59" s="8"/>
      <c r="F59" s="13" t="s">
        <v>323</v>
      </c>
      <c r="G59" s="14">
        <v>1000</v>
      </c>
      <c r="H59" s="13"/>
      <c r="I59" s="12" t="s">
        <v>13</v>
      </c>
      <c r="J59" s="12" t="s">
        <v>311</v>
      </c>
    </row>
    <row r="60" spans="1:10" ht="19.5" x14ac:dyDescent="0.25">
      <c r="A60" s="20" t="s">
        <v>296</v>
      </c>
      <c r="B60" s="11">
        <v>43703</v>
      </c>
      <c r="C60" s="15" t="s">
        <v>324</v>
      </c>
      <c r="D60" s="15" t="s">
        <v>325</v>
      </c>
      <c r="E60" s="8"/>
      <c r="F60" s="13" t="s">
        <v>217</v>
      </c>
      <c r="G60" s="14">
        <v>100</v>
      </c>
      <c r="H60" s="13"/>
      <c r="I60" s="12" t="s">
        <v>326</v>
      </c>
      <c r="J60" s="12" t="s">
        <v>163</v>
      </c>
    </row>
    <row r="61" spans="1:10" ht="19.5" x14ac:dyDescent="0.25">
      <c r="A61" s="20" t="s">
        <v>327</v>
      </c>
      <c r="B61" s="11"/>
      <c r="C61" s="15"/>
      <c r="D61" s="15"/>
      <c r="E61" s="8"/>
      <c r="F61" s="13"/>
      <c r="G61" s="14"/>
      <c r="H61" s="13"/>
      <c r="I61" s="12"/>
      <c r="J61" s="12"/>
    </row>
    <row r="62" spans="1:10" ht="87.75" customHeight="1" x14ac:dyDescent="0.25">
      <c r="A62" s="20" t="s">
        <v>328</v>
      </c>
      <c r="B62" s="11">
        <v>43703</v>
      </c>
      <c r="C62" s="15" t="s">
        <v>333</v>
      </c>
      <c r="D62" s="15" t="s">
        <v>334</v>
      </c>
      <c r="E62" s="8"/>
      <c r="F62" s="13" t="s">
        <v>207</v>
      </c>
      <c r="G62" s="14">
        <f>600*20+9.1*30+16*15+20*10+9.6*20+24*10</f>
        <v>13145</v>
      </c>
      <c r="H62" s="13"/>
      <c r="I62" s="12" t="s">
        <v>13</v>
      </c>
      <c r="J62" s="12" t="s">
        <v>163</v>
      </c>
    </row>
    <row r="63" spans="1:10" ht="19.5" x14ac:dyDescent="0.25">
      <c r="A63" s="20" t="s">
        <v>329</v>
      </c>
      <c r="B63" s="11">
        <v>43704</v>
      </c>
      <c r="C63" s="15" t="s">
        <v>335</v>
      </c>
      <c r="D63" s="15" t="s">
        <v>262</v>
      </c>
      <c r="E63" s="8"/>
      <c r="F63" s="13" t="s">
        <v>207</v>
      </c>
      <c r="G63" s="14">
        <v>1500</v>
      </c>
      <c r="H63" s="13"/>
      <c r="I63" s="12" t="s">
        <v>13</v>
      </c>
      <c r="J63" s="12" t="s">
        <v>163</v>
      </c>
    </row>
    <row r="64" spans="1:10" ht="19.5" x14ac:dyDescent="0.25">
      <c r="A64" s="20" t="s">
        <v>330</v>
      </c>
      <c r="B64" s="11"/>
      <c r="C64" s="15" t="s">
        <v>194</v>
      </c>
      <c r="D64" s="15"/>
      <c r="E64" s="8"/>
      <c r="F64" s="13"/>
      <c r="G64" s="14"/>
      <c r="H64" s="13"/>
      <c r="I64" s="12"/>
      <c r="J64" s="12"/>
    </row>
    <row r="65" spans="1:10" ht="24.75" customHeight="1" x14ac:dyDescent="0.25">
      <c r="A65" s="20" t="s">
        <v>331</v>
      </c>
      <c r="B65" s="11">
        <v>43705</v>
      </c>
      <c r="C65" s="15" t="s">
        <v>336</v>
      </c>
      <c r="D65" s="15" t="s">
        <v>337</v>
      </c>
      <c r="E65" s="8"/>
      <c r="F65" s="13" t="s">
        <v>217</v>
      </c>
      <c r="G65" s="14">
        <v>600</v>
      </c>
      <c r="H65" s="13"/>
      <c r="I65" s="12" t="s">
        <v>13</v>
      </c>
      <c r="J65" s="12" t="s">
        <v>311</v>
      </c>
    </row>
    <row r="66" spans="1:10" ht="19.5" x14ac:dyDescent="0.25">
      <c r="A66" s="20" t="s">
        <v>332</v>
      </c>
      <c r="B66" s="11">
        <v>43705</v>
      </c>
      <c r="C66" s="15" t="s">
        <v>338</v>
      </c>
      <c r="D66" s="15" t="s">
        <v>339</v>
      </c>
      <c r="E66" s="8"/>
      <c r="F66" s="13" t="s">
        <v>198</v>
      </c>
      <c r="G66" s="14">
        <f>400*10</f>
        <v>4000</v>
      </c>
      <c r="H66" s="13"/>
      <c r="I66" s="12" t="s">
        <v>13</v>
      </c>
      <c r="J66" s="12" t="s">
        <v>311</v>
      </c>
    </row>
    <row r="67" spans="1:10" ht="39" x14ac:dyDescent="0.25">
      <c r="A67" s="20" t="s">
        <v>340</v>
      </c>
      <c r="B67" s="11">
        <v>43705</v>
      </c>
      <c r="C67" s="15" t="s">
        <v>341</v>
      </c>
      <c r="D67" s="15" t="s">
        <v>342</v>
      </c>
      <c r="E67" s="8"/>
      <c r="F67" s="13" t="s">
        <v>217</v>
      </c>
      <c r="G67" s="14">
        <f>5*100+400</f>
        <v>900</v>
      </c>
      <c r="H67" s="13"/>
      <c r="I67" s="15" t="s">
        <v>343</v>
      </c>
      <c r="J67" s="12" t="s">
        <v>344</v>
      </c>
    </row>
    <row r="68" spans="1:10" ht="39" x14ac:dyDescent="0.25">
      <c r="A68" s="20" t="s">
        <v>345</v>
      </c>
      <c r="B68" s="11">
        <v>43689</v>
      </c>
      <c r="C68" s="34" t="s">
        <v>35</v>
      </c>
      <c r="D68" s="15" t="s">
        <v>36</v>
      </c>
      <c r="E68" s="13" t="s">
        <v>356</v>
      </c>
      <c r="F68" s="13" t="s">
        <v>207</v>
      </c>
      <c r="G68" s="14">
        <f>45*15</f>
        <v>675</v>
      </c>
      <c r="H68" s="13"/>
      <c r="I68" s="12" t="s">
        <v>13</v>
      </c>
      <c r="J68" s="12" t="s">
        <v>311</v>
      </c>
    </row>
    <row r="69" spans="1:10" ht="19.5" x14ac:dyDescent="0.25">
      <c r="A69" s="20" t="s">
        <v>346</v>
      </c>
      <c r="B69" s="11">
        <v>43696</v>
      </c>
      <c r="C69" s="15" t="s">
        <v>357</v>
      </c>
      <c r="D69" s="15" t="s">
        <v>358</v>
      </c>
      <c r="E69" s="8" t="s">
        <v>359</v>
      </c>
      <c r="F69" s="13" t="s">
        <v>360</v>
      </c>
      <c r="G69" s="14">
        <f>22*20</f>
        <v>440</v>
      </c>
      <c r="H69" s="13"/>
      <c r="I69" s="12" t="s">
        <v>13</v>
      </c>
      <c r="J69" s="12" t="s">
        <v>311</v>
      </c>
    </row>
    <row r="70" spans="1:10" ht="147.75" customHeight="1" x14ac:dyDescent="0.25">
      <c r="A70" s="20" t="s">
        <v>347</v>
      </c>
      <c r="B70" s="11">
        <v>43696</v>
      </c>
      <c r="C70" s="15" t="s">
        <v>361</v>
      </c>
      <c r="D70" s="15" t="s">
        <v>362</v>
      </c>
      <c r="E70" s="8"/>
      <c r="F70" s="13" t="s">
        <v>363</v>
      </c>
      <c r="G70" s="14">
        <f>3.4*15+5.1*15+450*0.5+4.8*30+7.5*25+6.1*15+22.5*41+8.2*10+4.2*40+3*40+15*10+6*10</f>
        <v>2278</v>
      </c>
      <c r="H70" s="13"/>
      <c r="I70" s="12" t="s">
        <v>13</v>
      </c>
      <c r="J70" s="12" t="s">
        <v>14</v>
      </c>
    </row>
    <row r="71" spans="1:10" ht="39" x14ac:dyDescent="0.25">
      <c r="A71" s="20" t="s">
        <v>348</v>
      </c>
      <c r="B71" s="11">
        <v>43703</v>
      </c>
      <c r="C71" s="15" t="s">
        <v>364</v>
      </c>
      <c r="D71" s="15" t="s">
        <v>365</v>
      </c>
      <c r="E71" s="8" t="s">
        <v>366</v>
      </c>
      <c r="F71" s="13" t="s">
        <v>367</v>
      </c>
      <c r="G71" s="14">
        <f>33.2*20</f>
        <v>664</v>
      </c>
      <c r="H71" s="13"/>
      <c r="I71" s="12" t="s">
        <v>13</v>
      </c>
      <c r="J71" s="12" t="s">
        <v>14</v>
      </c>
    </row>
    <row r="72" spans="1:10" ht="19.5" x14ac:dyDescent="0.25">
      <c r="A72" s="20" t="s">
        <v>349</v>
      </c>
      <c r="B72" s="11">
        <v>43703</v>
      </c>
      <c r="C72" s="15" t="s">
        <v>357</v>
      </c>
      <c r="D72" s="15" t="s">
        <v>368</v>
      </c>
      <c r="E72" s="8"/>
      <c r="F72" s="13" t="s">
        <v>367</v>
      </c>
      <c r="G72" s="14">
        <f>38*20+26*15</f>
        <v>1150</v>
      </c>
      <c r="H72" s="13"/>
      <c r="I72" s="12" t="s">
        <v>13</v>
      </c>
      <c r="J72" s="12" t="s">
        <v>311</v>
      </c>
    </row>
    <row r="73" spans="1:10" ht="97.5" x14ac:dyDescent="0.25">
      <c r="A73" s="20" t="s">
        <v>350</v>
      </c>
      <c r="B73" s="11">
        <v>43703</v>
      </c>
      <c r="C73" s="15" t="s">
        <v>369</v>
      </c>
      <c r="D73" s="15" t="s">
        <v>54</v>
      </c>
      <c r="E73" s="8" t="s">
        <v>370</v>
      </c>
      <c r="F73" s="13" t="s">
        <v>371</v>
      </c>
      <c r="G73" s="14">
        <f>37*50</f>
        <v>1850</v>
      </c>
      <c r="H73" s="13"/>
      <c r="I73" s="12" t="s">
        <v>13</v>
      </c>
      <c r="J73" s="12" t="s">
        <v>311</v>
      </c>
    </row>
    <row r="74" spans="1:10" ht="19.5" x14ac:dyDescent="0.25">
      <c r="A74" s="20" t="s">
        <v>351</v>
      </c>
      <c r="B74" s="11">
        <v>43706</v>
      </c>
      <c r="C74" s="15" t="s">
        <v>372</v>
      </c>
      <c r="D74" s="15" t="s">
        <v>373</v>
      </c>
      <c r="E74" s="8"/>
      <c r="F74" s="13" t="s">
        <v>360</v>
      </c>
      <c r="G74" s="14">
        <v>2500</v>
      </c>
      <c r="H74" s="13"/>
      <c r="I74" s="12" t="s">
        <v>13</v>
      </c>
      <c r="J74" s="12" t="s">
        <v>311</v>
      </c>
    </row>
    <row r="75" spans="1:10" ht="19.5" x14ac:dyDescent="0.25">
      <c r="A75" s="20" t="s">
        <v>352</v>
      </c>
      <c r="B75" s="11">
        <v>43707</v>
      </c>
      <c r="C75" s="15" t="s">
        <v>374</v>
      </c>
      <c r="D75" s="15" t="s">
        <v>375</v>
      </c>
      <c r="E75" s="8"/>
      <c r="F75" s="13" t="s">
        <v>371</v>
      </c>
      <c r="G75" s="14">
        <f>60*20+500</f>
        <v>1700</v>
      </c>
      <c r="H75" s="13"/>
      <c r="I75" s="12" t="s">
        <v>13</v>
      </c>
      <c r="J75" s="12" t="s">
        <v>14</v>
      </c>
    </row>
    <row r="76" spans="1:10" ht="108.75" customHeight="1" x14ac:dyDescent="0.25">
      <c r="A76" s="20" t="s">
        <v>353</v>
      </c>
      <c r="B76" s="11">
        <v>43706</v>
      </c>
      <c r="C76" s="44" t="s">
        <v>376</v>
      </c>
      <c r="D76" s="15" t="s">
        <v>377</v>
      </c>
      <c r="E76" s="8"/>
      <c r="F76" s="13" t="s">
        <v>367</v>
      </c>
      <c r="G76" s="14">
        <f>240*20+72*40+40*15+7.2*40+8.4*40+17*20+6*250+52.2*15+50.4*20</f>
        <v>12535</v>
      </c>
      <c r="H76" s="13"/>
      <c r="I76" s="12" t="s">
        <v>13</v>
      </c>
      <c r="J76" s="12" t="s">
        <v>14</v>
      </c>
    </row>
    <row r="77" spans="1:10" ht="19.5" x14ac:dyDescent="0.25">
      <c r="A77" s="20" t="s">
        <v>354</v>
      </c>
      <c r="B77" s="11">
        <v>43707</v>
      </c>
      <c r="C77" s="15" t="s">
        <v>378</v>
      </c>
      <c r="D77" s="15" t="s">
        <v>365</v>
      </c>
      <c r="E77" s="8" t="s">
        <v>379</v>
      </c>
      <c r="F77" s="13" t="s">
        <v>371</v>
      </c>
      <c r="G77" s="14">
        <f>1000*12</f>
        <v>12000</v>
      </c>
      <c r="H77" s="13"/>
      <c r="I77" s="12" t="s">
        <v>13</v>
      </c>
      <c r="J77" s="12" t="s">
        <v>14</v>
      </c>
    </row>
    <row r="78" spans="1:10" ht="39" x14ac:dyDescent="0.25">
      <c r="A78" s="20" t="s">
        <v>355</v>
      </c>
      <c r="B78" s="11">
        <v>43707</v>
      </c>
      <c r="C78" s="34" t="s">
        <v>35</v>
      </c>
      <c r="D78" s="15" t="s">
        <v>36</v>
      </c>
      <c r="E78" s="13" t="s">
        <v>380</v>
      </c>
      <c r="F78" s="13" t="s">
        <v>37</v>
      </c>
      <c r="G78" s="14">
        <f>50*15</f>
        <v>750</v>
      </c>
      <c r="H78" s="13"/>
      <c r="I78" s="12" t="s">
        <v>13</v>
      </c>
      <c r="J78" s="12" t="s">
        <v>311</v>
      </c>
    </row>
    <row r="79" spans="1:10" ht="19.5" x14ac:dyDescent="0.25">
      <c r="A79" s="20" t="s">
        <v>381</v>
      </c>
      <c r="B79" s="11">
        <v>43688</v>
      </c>
      <c r="C79" s="15" t="s">
        <v>372</v>
      </c>
      <c r="D79" s="15" t="s">
        <v>365</v>
      </c>
      <c r="E79" s="8" t="s">
        <v>382</v>
      </c>
      <c r="F79" s="13" t="s">
        <v>360</v>
      </c>
      <c r="G79" s="14">
        <f>240*20</f>
        <v>4800</v>
      </c>
      <c r="H79" s="13"/>
      <c r="I79" s="12" t="s">
        <v>13</v>
      </c>
      <c r="J79" s="12" t="s">
        <v>14</v>
      </c>
    </row>
    <row r="80" spans="1:10" ht="21" customHeight="1" x14ac:dyDescent="0.25">
      <c r="A80" s="10"/>
      <c r="B80" s="11"/>
      <c r="C80" s="15"/>
      <c r="D80" s="22" t="s">
        <v>19</v>
      </c>
      <c r="E80" s="13"/>
      <c r="F80" s="13"/>
      <c r="G80" s="14">
        <f>SUM(G5:G79)</f>
        <v>245354.1</v>
      </c>
      <c r="H80" s="13"/>
      <c r="I80" s="12"/>
      <c r="J80" s="12"/>
    </row>
    <row r="81" spans="1:10" ht="21" customHeight="1" x14ac:dyDescent="0.25">
      <c r="A81" s="23"/>
      <c r="B81" s="24"/>
      <c r="C81" s="25"/>
      <c r="D81" s="26"/>
      <c r="E81" s="27"/>
      <c r="F81" s="27"/>
      <c r="G81" s="28"/>
      <c r="H81" s="27"/>
      <c r="I81" s="29"/>
      <c r="J81" s="29"/>
    </row>
    <row r="82" spans="1:10" ht="19.5" x14ac:dyDescent="0.25">
      <c r="A82" s="17" t="s">
        <v>18</v>
      </c>
      <c r="B82" s="17"/>
      <c r="C82" s="17"/>
      <c r="D82" s="17"/>
      <c r="E82" s="17"/>
      <c r="F82" s="17"/>
      <c r="G82" s="17"/>
      <c r="H82" s="17"/>
      <c r="I82" s="17"/>
      <c r="J82" s="17"/>
    </row>
  </sheetData>
  <mergeCells count="2">
    <mergeCell ref="A1:J1"/>
    <mergeCell ref="A2:J2"/>
  </mergeCells>
  <phoneticPr fontId="4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6"/>
  <sheetViews>
    <sheetView topLeftCell="A13" workbookViewId="0">
      <selection activeCell="C18" sqref="C18"/>
    </sheetView>
  </sheetViews>
  <sheetFormatPr defaultRowHeight="16.5" x14ac:dyDescent="0.25"/>
  <cols>
    <col min="1" max="1" width="9.375" style="2" customWidth="1"/>
    <col min="2" max="2" width="8.375" style="4" customWidth="1"/>
    <col min="3" max="3" width="26" style="1" customWidth="1"/>
    <col min="4" max="4" width="28.375" style="1" customWidth="1"/>
    <col min="5" max="5" width="10" style="1" customWidth="1"/>
    <col min="6" max="6" width="8.875" style="3" customWidth="1"/>
    <col min="7" max="7" width="12.875" style="5" customWidth="1"/>
    <col min="8" max="8" width="9.5" style="3" customWidth="1"/>
    <col min="9" max="9" width="14.375" style="1" customWidth="1"/>
    <col min="10" max="10" width="11.5" style="1" customWidth="1"/>
    <col min="11" max="16384" width="9" style="1"/>
  </cols>
  <sheetData>
    <row r="1" spans="1:17" ht="30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7" ht="27.75" x14ac:dyDescent="0.25">
      <c r="A2" s="70" t="s">
        <v>383</v>
      </c>
      <c r="B2" s="70"/>
      <c r="C2" s="70"/>
      <c r="D2" s="70"/>
      <c r="E2" s="70"/>
      <c r="F2" s="70"/>
      <c r="G2" s="70"/>
      <c r="H2" s="70"/>
      <c r="I2" s="70"/>
      <c r="J2" s="70"/>
    </row>
    <row r="3" spans="1:17" s="3" customFormat="1" x14ac:dyDescent="0.25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8" t="s">
        <v>10</v>
      </c>
    </row>
    <row r="4" spans="1:17" ht="19.5" x14ac:dyDescent="0.25">
      <c r="A4" s="16" t="s">
        <v>384</v>
      </c>
      <c r="B4" s="11">
        <v>43710</v>
      </c>
      <c r="C4" s="31" t="s">
        <v>385</v>
      </c>
      <c r="D4" s="39" t="s">
        <v>386</v>
      </c>
      <c r="E4" s="13" t="s">
        <v>387</v>
      </c>
      <c r="F4" s="8" t="s">
        <v>388</v>
      </c>
      <c r="G4" s="14">
        <f>3*500</f>
        <v>1500</v>
      </c>
      <c r="H4" s="13"/>
      <c r="I4" s="39" t="s">
        <v>15</v>
      </c>
      <c r="J4" s="46" t="s">
        <v>14</v>
      </c>
    </row>
    <row r="5" spans="1:17" ht="19.5" x14ac:dyDescent="0.25">
      <c r="A5" s="16" t="s">
        <v>389</v>
      </c>
      <c r="B5" s="11">
        <v>43710</v>
      </c>
      <c r="C5" s="31" t="s">
        <v>390</v>
      </c>
      <c r="D5" s="39" t="s">
        <v>391</v>
      </c>
      <c r="E5" s="13"/>
      <c r="F5" s="8" t="s">
        <v>388</v>
      </c>
      <c r="G5" s="14">
        <f>130*20</f>
        <v>2600</v>
      </c>
      <c r="H5" s="13"/>
      <c r="I5" s="46" t="s">
        <v>13</v>
      </c>
      <c r="J5" s="46" t="s">
        <v>14</v>
      </c>
    </row>
    <row r="6" spans="1:17" ht="49.5" x14ac:dyDescent="0.25">
      <c r="A6" s="20" t="s">
        <v>392</v>
      </c>
      <c r="B6" s="11">
        <v>43711</v>
      </c>
      <c r="C6" s="31" t="s">
        <v>393</v>
      </c>
      <c r="D6" s="39" t="s">
        <v>394</v>
      </c>
      <c r="E6" s="13"/>
      <c r="F6" s="8" t="s">
        <v>395</v>
      </c>
      <c r="G6" s="14">
        <f>30*20+4*1.1*6*45+7*40*0.1*210+24*2*50</f>
        <v>10068</v>
      </c>
      <c r="H6" s="13"/>
      <c r="I6" s="39" t="s">
        <v>38</v>
      </c>
      <c r="J6" s="46" t="s">
        <v>26</v>
      </c>
    </row>
    <row r="7" spans="1:17" ht="27.75" customHeight="1" x14ac:dyDescent="0.25">
      <c r="A7" s="20" t="s">
        <v>396</v>
      </c>
      <c r="B7" s="11">
        <v>43711</v>
      </c>
      <c r="C7" s="15" t="s">
        <v>397</v>
      </c>
      <c r="D7" s="39" t="s">
        <v>398</v>
      </c>
      <c r="E7" s="13"/>
      <c r="F7" s="8" t="s">
        <v>395</v>
      </c>
      <c r="G7" s="14">
        <f>20*20+28*5</f>
        <v>540</v>
      </c>
      <c r="H7" s="13"/>
      <c r="I7" s="46" t="s">
        <v>13</v>
      </c>
      <c r="J7" s="46" t="s">
        <v>399</v>
      </c>
    </row>
    <row r="8" spans="1:17" ht="19.5" customHeight="1" x14ac:dyDescent="0.25">
      <c r="A8" s="20" t="s">
        <v>400</v>
      </c>
      <c r="B8" s="11">
        <v>43713</v>
      </c>
      <c r="C8" s="31" t="s">
        <v>401</v>
      </c>
      <c r="D8" s="39" t="s">
        <v>391</v>
      </c>
      <c r="E8" s="13" t="s">
        <v>402</v>
      </c>
      <c r="F8" s="8" t="s">
        <v>395</v>
      </c>
      <c r="G8" s="14">
        <v>0</v>
      </c>
      <c r="H8" s="13"/>
      <c r="I8" s="46" t="s">
        <v>403</v>
      </c>
      <c r="J8" s="46"/>
    </row>
    <row r="9" spans="1:17" ht="19.5" x14ac:dyDescent="0.25">
      <c r="A9" s="20" t="s">
        <v>404</v>
      </c>
      <c r="B9" s="11">
        <v>43713</v>
      </c>
      <c r="C9" s="31" t="s">
        <v>405</v>
      </c>
      <c r="D9" s="39" t="s">
        <v>406</v>
      </c>
      <c r="E9" s="13" t="s">
        <v>407</v>
      </c>
      <c r="F9" s="8" t="s">
        <v>388</v>
      </c>
      <c r="G9" s="14">
        <v>2000</v>
      </c>
      <c r="H9" s="13"/>
      <c r="I9" s="46" t="s">
        <v>13</v>
      </c>
      <c r="J9" s="46" t="s">
        <v>26</v>
      </c>
    </row>
    <row r="10" spans="1:17" ht="19.5" x14ac:dyDescent="0.25">
      <c r="A10" s="20" t="s">
        <v>408</v>
      </c>
      <c r="B10" s="11"/>
      <c r="C10" s="15" t="s">
        <v>194</v>
      </c>
      <c r="D10" s="39"/>
      <c r="E10" s="13"/>
      <c r="F10" s="8"/>
      <c r="G10" s="14"/>
      <c r="H10" s="13"/>
      <c r="I10" s="39"/>
      <c r="J10" s="46"/>
    </row>
    <row r="11" spans="1:17" ht="195" customHeight="1" x14ac:dyDescent="0.25">
      <c r="A11" s="20" t="s">
        <v>409</v>
      </c>
      <c r="B11" s="11">
        <v>43716</v>
      </c>
      <c r="C11" s="15" t="s">
        <v>410</v>
      </c>
      <c r="D11" s="39" t="s">
        <v>411</v>
      </c>
      <c r="E11" s="13"/>
      <c r="F11" s="9" t="s">
        <v>418</v>
      </c>
      <c r="G11" s="14">
        <f>726*20+34.8*30+360*15+20.1*60+64*50+12.6*20+62*10+26.5*10+5.6*60+21.1*200+5*210+500</f>
        <v>32613</v>
      </c>
      <c r="H11" s="13"/>
      <c r="I11" s="46" t="s">
        <v>27</v>
      </c>
      <c r="J11" s="46" t="s">
        <v>26</v>
      </c>
    </row>
    <row r="12" spans="1:17" ht="19.5" x14ac:dyDescent="0.25">
      <c r="A12" s="20" t="s">
        <v>412</v>
      </c>
      <c r="B12" s="11">
        <v>43717</v>
      </c>
      <c r="C12" s="31" t="s">
        <v>385</v>
      </c>
      <c r="D12" s="39" t="s">
        <v>413</v>
      </c>
      <c r="E12" s="13" t="s">
        <v>414</v>
      </c>
      <c r="F12" s="8" t="s">
        <v>415</v>
      </c>
      <c r="G12" s="14">
        <f>120*20</f>
        <v>2400</v>
      </c>
      <c r="H12" s="13"/>
      <c r="I12" s="46" t="s">
        <v>27</v>
      </c>
      <c r="J12" s="46" t="s">
        <v>26</v>
      </c>
    </row>
    <row r="13" spans="1:17" ht="19.5" x14ac:dyDescent="0.25">
      <c r="A13" s="20" t="s">
        <v>416</v>
      </c>
      <c r="B13" s="11">
        <v>43717</v>
      </c>
      <c r="C13" s="34" t="s">
        <v>35</v>
      </c>
      <c r="D13" s="39" t="s">
        <v>36</v>
      </c>
      <c r="E13" s="13" t="s">
        <v>417</v>
      </c>
      <c r="F13" s="8" t="s">
        <v>388</v>
      </c>
      <c r="G13" s="14">
        <f>38*15</f>
        <v>570</v>
      </c>
      <c r="H13" s="13"/>
      <c r="I13" s="46" t="s">
        <v>27</v>
      </c>
      <c r="J13" s="46" t="s">
        <v>21</v>
      </c>
    </row>
    <row r="14" spans="1:17" ht="66.75" customHeight="1" x14ac:dyDescent="0.25">
      <c r="A14" s="20" t="s">
        <v>419</v>
      </c>
      <c r="B14" s="11">
        <v>43718</v>
      </c>
      <c r="C14" s="15" t="s">
        <v>420</v>
      </c>
      <c r="D14" s="39" t="s">
        <v>421</v>
      </c>
      <c r="E14" s="13" t="s">
        <v>422</v>
      </c>
      <c r="F14" s="8" t="s">
        <v>395</v>
      </c>
      <c r="G14" s="14">
        <f>20*100</f>
        <v>2000</v>
      </c>
      <c r="H14" s="13"/>
      <c r="I14" s="46" t="s">
        <v>27</v>
      </c>
      <c r="J14" s="46" t="s">
        <v>399</v>
      </c>
      <c r="Q14" s="13"/>
    </row>
    <row r="15" spans="1:17" ht="33" x14ac:dyDescent="0.25">
      <c r="A15" s="20" t="s">
        <v>423</v>
      </c>
      <c r="B15" s="11">
        <v>43718</v>
      </c>
      <c r="C15" s="15" t="s">
        <v>424</v>
      </c>
      <c r="D15" s="39" t="s">
        <v>425</v>
      </c>
      <c r="E15" s="13"/>
      <c r="F15" s="8" t="s">
        <v>426</v>
      </c>
      <c r="G15" s="14">
        <f>6*10+12*15</f>
        <v>240</v>
      </c>
      <c r="H15" s="13"/>
      <c r="I15" s="46" t="s">
        <v>15</v>
      </c>
      <c r="J15" s="46" t="s">
        <v>14</v>
      </c>
    </row>
    <row r="16" spans="1:17" ht="19.5" x14ac:dyDescent="0.25">
      <c r="A16" s="20" t="s">
        <v>427</v>
      </c>
      <c r="B16" s="11">
        <v>43718</v>
      </c>
      <c r="C16" s="15" t="s">
        <v>428</v>
      </c>
      <c r="D16" s="39" t="s">
        <v>429</v>
      </c>
      <c r="E16" s="13" t="s">
        <v>430</v>
      </c>
      <c r="F16" s="8" t="s">
        <v>37</v>
      </c>
      <c r="G16" s="14">
        <f>12*20</f>
        <v>240</v>
      </c>
      <c r="H16" s="13"/>
      <c r="I16" s="46" t="s">
        <v>27</v>
      </c>
      <c r="J16" s="46" t="s">
        <v>14</v>
      </c>
    </row>
    <row r="17" spans="1:10" ht="19.5" x14ac:dyDescent="0.25">
      <c r="A17" s="20" t="s">
        <v>431</v>
      </c>
      <c r="B17" s="11">
        <v>43718</v>
      </c>
      <c r="C17" s="15" t="s">
        <v>428</v>
      </c>
      <c r="D17" s="39" t="s">
        <v>429</v>
      </c>
      <c r="E17" s="13" t="s">
        <v>432</v>
      </c>
      <c r="F17" s="8" t="s">
        <v>37</v>
      </c>
      <c r="G17" s="14">
        <f>240*20</f>
        <v>4800</v>
      </c>
      <c r="H17" s="13"/>
      <c r="I17" s="46" t="s">
        <v>13</v>
      </c>
      <c r="J17" s="46" t="s">
        <v>14</v>
      </c>
    </row>
    <row r="18" spans="1:10" ht="19.5" x14ac:dyDescent="0.25">
      <c r="A18" s="20" t="s">
        <v>433</v>
      </c>
      <c r="B18" s="11">
        <v>43719</v>
      </c>
      <c r="C18" s="15" t="s">
        <v>434</v>
      </c>
      <c r="D18" s="39" t="s">
        <v>435</v>
      </c>
      <c r="E18" s="13" t="s">
        <v>436</v>
      </c>
      <c r="F18" s="8" t="s">
        <v>37</v>
      </c>
      <c r="G18" s="14">
        <f>810*10</f>
        <v>8100</v>
      </c>
      <c r="H18" s="13"/>
      <c r="I18" s="46" t="s">
        <v>13</v>
      </c>
      <c r="J18" s="46" t="s">
        <v>437</v>
      </c>
    </row>
    <row r="19" spans="1:10" ht="86.25" customHeight="1" x14ac:dyDescent="0.25">
      <c r="A19" s="20" t="s">
        <v>438</v>
      </c>
      <c r="B19" s="11">
        <v>43720</v>
      </c>
      <c r="C19" s="31" t="s">
        <v>439</v>
      </c>
      <c r="D19" s="39" t="s">
        <v>440</v>
      </c>
      <c r="E19" s="13"/>
      <c r="F19" s="8" t="s">
        <v>12</v>
      </c>
      <c r="G19" s="14">
        <f>30*20+2500+1500</f>
        <v>4600</v>
      </c>
      <c r="H19" s="13"/>
      <c r="I19" s="39" t="s">
        <v>456</v>
      </c>
      <c r="J19" s="46" t="s">
        <v>26</v>
      </c>
    </row>
    <row r="20" spans="1:10" ht="19.5" x14ac:dyDescent="0.25">
      <c r="A20" s="20" t="s">
        <v>441</v>
      </c>
      <c r="B20" s="11"/>
      <c r="C20" s="15" t="s">
        <v>194</v>
      </c>
      <c r="D20" s="39"/>
      <c r="E20" s="13"/>
      <c r="F20" s="8"/>
      <c r="G20" s="14"/>
      <c r="H20" s="13"/>
      <c r="I20" s="46"/>
      <c r="J20" s="46"/>
    </row>
    <row r="21" spans="1:10" ht="19.5" x14ac:dyDescent="0.25">
      <c r="A21" s="20" t="s">
        <v>445</v>
      </c>
      <c r="B21" s="11">
        <v>43725</v>
      </c>
      <c r="C21" s="15" t="s">
        <v>446</v>
      </c>
      <c r="D21" s="39" t="s">
        <v>429</v>
      </c>
      <c r="E21" s="13" t="s">
        <v>447</v>
      </c>
      <c r="F21" s="8" t="s">
        <v>444</v>
      </c>
      <c r="G21" s="14">
        <f>50*12</f>
        <v>600</v>
      </c>
      <c r="H21" s="13"/>
      <c r="I21" s="46" t="s">
        <v>13</v>
      </c>
      <c r="J21" s="46" t="s">
        <v>14</v>
      </c>
    </row>
    <row r="22" spans="1:10" ht="19.5" x14ac:dyDescent="0.25">
      <c r="A22" s="20" t="s">
        <v>448</v>
      </c>
      <c r="B22" s="11">
        <v>43726</v>
      </c>
      <c r="C22" s="15" t="s">
        <v>449</v>
      </c>
      <c r="D22" s="39" t="s">
        <v>450</v>
      </c>
      <c r="E22" s="13" t="s">
        <v>451</v>
      </c>
      <c r="F22" s="8" t="s">
        <v>12</v>
      </c>
      <c r="G22" s="14">
        <f>150*100</f>
        <v>15000</v>
      </c>
      <c r="H22" s="13"/>
      <c r="I22" s="46" t="s">
        <v>15</v>
      </c>
      <c r="J22" s="46" t="s">
        <v>14</v>
      </c>
    </row>
    <row r="23" spans="1:10" ht="19.5" x14ac:dyDescent="0.25">
      <c r="A23" s="20" t="s">
        <v>452</v>
      </c>
      <c r="B23" s="11"/>
      <c r="C23" s="15" t="s">
        <v>194</v>
      </c>
      <c r="D23" s="39"/>
      <c r="E23" s="13"/>
      <c r="F23" s="8"/>
      <c r="G23" s="14"/>
      <c r="H23" s="13"/>
      <c r="I23" s="46"/>
      <c r="J23" s="46"/>
    </row>
    <row r="24" spans="1:10" ht="33" x14ac:dyDescent="0.25">
      <c r="A24" s="20" t="s">
        <v>453</v>
      </c>
      <c r="B24" s="11">
        <v>43726</v>
      </c>
      <c r="C24" s="15" t="s">
        <v>454</v>
      </c>
      <c r="D24" s="39" t="s">
        <v>455</v>
      </c>
      <c r="E24" s="13"/>
      <c r="F24" s="8" t="s">
        <v>444</v>
      </c>
      <c r="G24" s="14">
        <f>385+100+100</f>
        <v>585</v>
      </c>
      <c r="H24" s="13"/>
      <c r="I24" s="39" t="s">
        <v>493</v>
      </c>
      <c r="J24" s="46" t="s">
        <v>26</v>
      </c>
    </row>
    <row r="25" spans="1:10" ht="49.5" x14ac:dyDescent="0.25">
      <c r="A25" s="20" t="s">
        <v>457</v>
      </c>
      <c r="B25" s="11">
        <v>43724</v>
      </c>
      <c r="C25" s="15" t="s">
        <v>474</v>
      </c>
      <c r="D25" s="39" t="s">
        <v>479</v>
      </c>
      <c r="E25" s="13"/>
      <c r="F25" s="8" t="s">
        <v>475</v>
      </c>
      <c r="G25" s="14">
        <f>150*20+300+15*50+15*10+6*10+4.1*60+4.1*60+12*15+3*100</f>
        <v>5232</v>
      </c>
      <c r="H25" s="13"/>
      <c r="I25" s="46" t="s">
        <v>13</v>
      </c>
      <c r="J25" s="46" t="s">
        <v>14</v>
      </c>
    </row>
    <row r="26" spans="1:10" ht="19.5" x14ac:dyDescent="0.25">
      <c r="A26" s="20" t="s">
        <v>458</v>
      </c>
      <c r="B26" s="11">
        <v>43724</v>
      </c>
      <c r="C26" s="15" t="s">
        <v>476</v>
      </c>
      <c r="D26" s="39" t="s">
        <v>477</v>
      </c>
      <c r="E26" s="13" t="s">
        <v>478</v>
      </c>
      <c r="F26" s="8" t="s">
        <v>475</v>
      </c>
      <c r="G26" s="14">
        <f>120*20</f>
        <v>2400</v>
      </c>
      <c r="H26" s="13"/>
      <c r="I26" s="46" t="s">
        <v>13</v>
      </c>
      <c r="J26" s="46" t="s">
        <v>14</v>
      </c>
    </row>
    <row r="27" spans="1:10" ht="19.5" x14ac:dyDescent="0.25">
      <c r="A27" s="20" t="s">
        <v>459</v>
      </c>
      <c r="B27" s="11"/>
      <c r="C27" s="15" t="s">
        <v>480</v>
      </c>
      <c r="D27" s="39"/>
      <c r="E27" s="13"/>
      <c r="F27" s="8"/>
      <c r="G27" s="14"/>
      <c r="H27" s="13"/>
      <c r="I27" s="46"/>
      <c r="J27" s="46"/>
    </row>
    <row r="28" spans="1:10" ht="25.5" customHeight="1" x14ac:dyDescent="0.25">
      <c r="A28" s="20" t="s">
        <v>460</v>
      </c>
      <c r="B28" s="11">
        <v>43731</v>
      </c>
      <c r="C28" s="35" t="s">
        <v>481</v>
      </c>
      <c r="D28" s="39" t="s">
        <v>482</v>
      </c>
      <c r="E28" s="13" t="s">
        <v>483</v>
      </c>
      <c r="F28" s="8" t="s">
        <v>486</v>
      </c>
      <c r="G28" s="14">
        <f>44*15</f>
        <v>660</v>
      </c>
      <c r="H28" s="13"/>
      <c r="I28" s="46" t="s">
        <v>13</v>
      </c>
      <c r="J28" s="46" t="s">
        <v>39</v>
      </c>
    </row>
    <row r="29" spans="1:10" ht="36" customHeight="1" x14ac:dyDescent="0.25">
      <c r="A29" s="20" t="s">
        <v>461</v>
      </c>
      <c r="B29" s="11">
        <v>43732</v>
      </c>
      <c r="C29" s="15" t="s">
        <v>484</v>
      </c>
      <c r="D29" s="39" t="s">
        <v>477</v>
      </c>
      <c r="E29" s="13" t="s">
        <v>485</v>
      </c>
      <c r="F29" s="8" t="s">
        <v>487</v>
      </c>
      <c r="G29" s="14">
        <f>150*20</f>
        <v>3000</v>
      </c>
      <c r="H29" s="13"/>
      <c r="I29" s="46" t="s">
        <v>13</v>
      </c>
      <c r="J29" s="46" t="s">
        <v>14</v>
      </c>
    </row>
    <row r="30" spans="1:10" ht="19.5" x14ac:dyDescent="0.25">
      <c r="A30" s="20" t="s">
        <v>462</v>
      </c>
      <c r="B30" s="11">
        <v>43732</v>
      </c>
      <c r="C30" s="15" t="s">
        <v>488</v>
      </c>
      <c r="D30" s="39" t="s">
        <v>489</v>
      </c>
      <c r="E30" s="13"/>
      <c r="F30" s="8" t="s">
        <v>490</v>
      </c>
      <c r="G30" s="14">
        <f>35*5*20+35*2*20</f>
        <v>4900</v>
      </c>
      <c r="H30" s="13"/>
      <c r="I30" s="46" t="s">
        <v>13</v>
      </c>
      <c r="J30" s="46" t="s">
        <v>14</v>
      </c>
    </row>
    <row r="31" spans="1:10" ht="24" customHeight="1" x14ac:dyDescent="0.25">
      <c r="A31" s="20" t="s">
        <v>463</v>
      </c>
      <c r="B31" s="11">
        <v>43732</v>
      </c>
      <c r="C31" s="31" t="s">
        <v>491</v>
      </c>
      <c r="D31" s="39" t="s">
        <v>477</v>
      </c>
      <c r="E31" s="13" t="s">
        <v>492</v>
      </c>
      <c r="F31" s="8" t="s">
        <v>490</v>
      </c>
      <c r="G31" s="14">
        <f>70*20</f>
        <v>1400</v>
      </c>
      <c r="H31" s="13"/>
      <c r="I31" s="46" t="s">
        <v>13</v>
      </c>
      <c r="J31" s="46" t="s">
        <v>14</v>
      </c>
    </row>
    <row r="32" spans="1:10" ht="25.5" customHeight="1" x14ac:dyDescent="0.25">
      <c r="A32" s="20" t="s">
        <v>464</v>
      </c>
      <c r="B32" s="11">
        <v>43733</v>
      </c>
      <c r="C32" s="15" t="s">
        <v>494</v>
      </c>
      <c r="D32" s="39" t="s">
        <v>495</v>
      </c>
      <c r="E32" s="19"/>
      <c r="F32" s="8" t="s">
        <v>496</v>
      </c>
      <c r="G32" s="14">
        <f>10*25</f>
        <v>250</v>
      </c>
      <c r="H32" s="13"/>
      <c r="I32" s="46" t="s">
        <v>13</v>
      </c>
      <c r="J32" s="46" t="s">
        <v>21</v>
      </c>
    </row>
    <row r="33" spans="1:10" ht="25.5" customHeight="1" x14ac:dyDescent="0.25">
      <c r="A33" s="20" t="s">
        <v>465</v>
      </c>
      <c r="B33" s="11">
        <v>43733</v>
      </c>
      <c r="C33" s="15" t="s">
        <v>497</v>
      </c>
      <c r="D33" s="39" t="s">
        <v>498</v>
      </c>
      <c r="E33" s="13"/>
      <c r="F33" s="8" t="s">
        <v>496</v>
      </c>
      <c r="G33" s="14">
        <f>20*25</f>
        <v>500</v>
      </c>
      <c r="H33" s="13"/>
      <c r="I33" s="46" t="s">
        <v>13</v>
      </c>
      <c r="J33" s="46" t="s">
        <v>21</v>
      </c>
    </row>
    <row r="34" spans="1:10" ht="19.5" x14ac:dyDescent="0.25">
      <c r="A34" s="20" t="s">
        <v>466</v>
      </c>
      <c r="B34" s="11">
        <v>43733</v>
      </c>
      <c r="C34" s="15" t="s">
        <v>499</v>
      </c>
      <c r="D34" s="39" t="s">
        <v>495</v>
      </c>
      <c r="E34" s="19"/>
      <c r="F34" s="8" t="s">
        <v>496</v>
      </c>
      <c r="G34" s="14">
        <f>10*25</f>
        <v>250</v>
      </c>
      <c r="H34" s="13"/>
      <c r="I34" s="46" t="s">
        <v>13</v>
      </c>
      <c r="J34" s="46" t="s">
        <v>21</v>
      </c>
    </row>
    <row r="35" spans="1:10" ht="19.5" x14ac:dyDescent="0.25">
      <c r="A35" s="20" t="s">
        <v>467</v>
      </c>
      <c r="B35" s="11">
        <v>43733</v>
      </c>
      <c r="C35" s="15" t="s">
        <v>500</v>
      </c>
      <c r="D35" s="39" t="s">
        <v>495</v>
      </c>
      <c r="E35" s="19"/>
      <c r="F35" s="8" t="s">
        <v>496</v>
      </c>
      <c r="G35" s="14">
        <f>10*25</f>
        <v>250</v>
      </c>
      <c r="H35" s="13"/>
      <c r="I35" s="46" t="s">
        <v>13</v>
      </c>
      <c r="J35" s="46" t="s">
        <v>21</v>
      </c>
    </row>
    <row r="36" spans="1:10" ht="19.5" x14ac:dyDescent="0.25">
      <c r="A36" s="20" t="s">
        <v>468</v>
      </c>
      <c r="B36" s="11"/>
      <c r="C36" s="15" t="s">
        <v>480</v>
      </c>
      <c r="D36" s="39"/>
      <c r="E36" s="13"/>
      <c r="F36" s="8"/>
      <c r="G36" s="14"/>
      <c r="H36" s="13"/>
      <c r="I36" s="39"/>
      <c r="J36" s="46"/>
    </row>
    <row r="37" spans="1:10" ht="19.5" x14ac:dyDescent="0.25">
      <c r="A37" s="20" t="s">
        <v>469</v>
      </c>
      <c r="B37" s="11">
        <v>43733</v>
      </c>
      <c r="C37" s="15" t="s">
        <v>501</v>
      </c>
      <c r="D37" s="39" t="s">
        <v>495</v>
      </c>
      <c r="E37" s="19"/>
      <c r="F37" s="8" t="s">
        <v>496</v>
      </c>
      <c r="G37" s="14">
        <f>10*25</f>
        <v>250</v>
      </c>
      <c r="H37" s="13"/>
      <c r="I37" s="46" t="s">
        <v>13</v>
      </c>
      <c r="J37" s="46" t="s">
        <v>21</v>
      </c>
    </row>
    <row r="38" spans="1:10" ht="19.5" x14ac:dyDescent="0.25">
      <c r="A38" s="20" t="s">
        <v>470</v>
      </c>
      <c r="B38" s="11">
        <v>43733</v>
      </c>
      <c r="C38" s="15" t="s">
        <v>502</v>
      </c>
      <c r="D38" s="39" t="s">
        <v>495</v>
      </c>
      <c r="E38" s="19"/>
      <c r="F38" s="8" t="s">
        <v>496</v>
      </c>
      <c r="G38" s="14">
        <f>10*25</f>
        <v>250</v>
      </c>
      <c r="H38" s="13"/>
      <c r="I38" s="46" t="s">
        <v>13</v>
      </c>
      <c r="J38" s="46" t="s">
        <v>21</v>
      </c>
    </row>
    <row r="39" spans="1:10" ht="19.5" x14ac:dyDescent="0.25">
      <c r="A39" s="20" t="s">
        <v>471</v>
      </c>
      <c r="B39" s="11">
        <v>43733</v>
      </c>
      <c r="C39" s="15" t="s">
        <v>503</v>
      </c>
      <c r="D39" s="39" t="s">
        <v>495</v>
      </c>
      <c r="E39" s="19"/>
      <c r="F39" s="8" t="s">
        <v>496</v>
      </c>
      <c r="G39" s="14">
        <f>10*25</f>
        <v>250</v>
      </c>
      <c r="H39" s="13"/>
      <c r="I39" s="46" t="s">
        <v>13</v>
      </c>
      <c r="J39" s="46" t="s">
        <v>21</v>
      </c>
    </row>
    <row r="40" spans="1:10" ht="21.75" customHeight="1" x14ac:dyDescent="0.25">
      <c r="A40" s="20" t="s">
        <v>472</v>
      </c>
      <c r="B40" s="11">
        <v>43733</v>
      </c>
      <c r="C40" s="15" t="s">
        <v>504</v>
      </c>
      <c r="D40" s="39" t="s">
        <v>495</v>
      </c>
      <c r="E40" s="19"/>
      <c r="F40" s="8" t="s">
        <v>496</v>
      </c>
      <c r="G40" s="14">
        <f>10*25</f>
        <v>250</v>
      </c>
      <c r="H40" s="13"/>
      <c r="I40" s="46" t="s">
        <v>13</v>
      </c>
      <c r="J40" s="46" t="s">
        <v>21</v>
      </c>
    </row>
    <row r="41" spans="1:10" ht="19.5" x14ac:dyDescent="0.25">
      <c r="A41" s="20" t="s">
        <v>473</v>
      </c>
      <c r="B41" s="11">
        <v>43733</v>
      </c>
      <c r="C41" s="31" t="s">
        <v>505</v>
      </c>
      <c r="D41" s="39" t="s">
        <v>495</v>
      </c>
      <c r="E41" s="19"/>
      <c r="F41" s="8" t="s">
        <v>496</v>
      </c>
      <c r="G41" s="14">
        <f>10*25</f>
        <v>250</v>
      </c>
      <c r="H41" s="13"/>
      <c r="I41" s="46" t="s">
        <v>13</v>
      </c>
      <c r="J41" s="46" t="s">
        <v>21</v>
      </c>
    </row>
    <row r="42" spans="1:10" ht="19.5" x14ac:dyDescent="0.25">
      <c r="A42" s="20" t="s">
        <v>506</v>
      </c>
      <c r="B42" s="11">
        <v>43720</v>
      </c>
      <c r="C42" s="31" t="s">
        <v>510</v>
      </c>
      <c r="D42" s="39" t="s">
        <v>511</v>
      </c>
      <c r="E42" s="19"/>
      <c r="F42" s="8" t="s">
        <v>486</v>
      </c>
      <c r="G42" s="14">
        <f>16*20+20*5</f>
        <v>420</v>
      </c>
      <c r="H42" s="13"/>
      <c r="I42" s="46" t="s">
        <v>13</v>
      </c>
      <c r="J42" s="46" t="s">
        <v>21</v>
      </c>
    </row>
    <row r="43" spans="1:10" ht="78" customHeight="1" x14ac:dyDescent="0.25">
      <c r="A43" s="20" t="s">
        <v>507</v>
      </c>
      <c r="B43" s="11">
        <v>43721</v>
      </c>
      <c r="C43" s="21" t="s">
        <v>442</v>
      </c>
      <c r="D43" s="39" t="s">
        <v>429</v>
      </c>
      <c r="E43" s="13" t="s">
        <v>443</v>
      </c>
      <c r="F43" s="8" t="s">
        <v>58</v>
      </c>
      <c r="G43" s="14">
        <f>84*20</f>
        <v>1680</v>
      </c>
      <c r="H43" s="13"/>
      <c r="I43" s="46" t="s">
        <v>13</v>
      </c>
      <c r="J43" s="46" t="s">
        <v>14</v>
      </c>
    </row>
    <row r="44" spans="1:10" ht="19.5" x14ac:dyDescent="0.25">
      <c r="A44" s="20" t="s">
        <v>508</v>
      </c>
      <c r="B44" s="11">
        <v>43733</v>
      </c>
      <c r="C44" s="31" t="s">
        <v>512</v>
      </c>
      <c r="D44" s="39" t="s">
        <v>495</v>
      </c>
      <c r="E44" s="19"/>
      <c r="F44" s="8" t="s">
        <v>496</v>
      </c>
      <c r="G44" s="14">
        <v>250</v>
      </c>
      <c r="H44" s="13"/>
      <c r="I44" s="46" t="s">
        <v>13</v>
      </c>
      <c r="J44" s="46" t="s">
        <v>21</v>
      </c>
    </row>
    <row r="45" spans="1:10" ht="19.5" x14ac:dyDescent="0.25">
      <c r="A45" s="20" t="s">
        <v>509</v>
      </c>
      <c r="B45" s="11">
        <v>43734</v>
      </c>
      <c r="C45" s="31" t="s">
        <v>513</v>
      </c>
      <c r="D45" s="39" t="s">
        <v>477</v>
      </c>
      <c r="E45" s="19" t="s">
        <v>514</v>
      </c>
      <c r="F45" s="8" t="s">
        <v>490</v>
      </c>
      <c r="G45" s="14">
        <f>400*12</f>
        <v>4800</v>
      </c>
      <c r="H45" s="13"/>
      <c r="I45" s="46" t="s">
        <v>13</v>
      </c>
      <c r="J45" s="46" t="s">
        <v>14</v>
      </c>
    </row>
    <row r="46" spans="1:10" ht="19.5" x14ac:dyDescent="0.25">
      <c r="A46" s="20" t="s">
        <v>515</v>
      </c>
      <c r="B46" s="11">
        <v>43734</v>
      </c>
      <c r="C46" s="15" t="s">
        <v>518</v>
      </c>
      <c r="D46" s="39" t="s">
        <v>477</v>
      </c>
      <c r="E46" s="13" t="s">
        <v>519</v>
      </c>
      <c r="F46" s="8" t="s">
        <v>490</v>
      </c>
      <c r="G46" s="14">
        <f>100*12</f>
        <v>1200</v>
      </c>
      <c r="H46" s="13"/>
      <c r="I46" s="46" t="s">
        <v>13</v>
      </c>
      <c r="J46" s="46" t="s">
        <v>14</v>
      </c>
    </row>
    <row r="47" spans="1:10" ht="104.25" customHeight="1" x14ac:dyDescent="0.25">
      <c r="A47" s="20" t="s">
        <v>516</v>
      </c>
      <c r="B47" s="11">
        <v>43735</v>
      </c>
      <c r="C47" s="15" t="s">
        <v>369</v>
      </c>
      <c r="D47" s="39" t="s">
        <v>52</v>
      </c>
      <c r="E47" s="13" t="s">
        <v>520</v>
      </c>
      <c r="F47" s="8" t="s">
        <v>490</v>
      </c>
      <c r="G47" s="14">
        <f>31*50</f>
        <v>1550</v>
      </c>
      <c r="H47" s="13"/>
      <c r="I47" s="46" t="s">
        <v>13</v>
      </c>
      <c r="J47" s="46" t="s">
        <v>21</v>
      </c>
    </row>
    <row r="48" spans="1:10" ht="41.25" customHeight="1" x14ac:dyDescent="0.25">
      <c r="A48" s="20" t="s">
        <v>517</v>
      </c>
      <c r="B48" s="11">
        <v>43735</v>
      </c>
      <c r="C48" s="15" t="s">
        <v>521</v>
      </c>
      <c r="D48" s="39" t="s">
        <v>522</v>
      </c>
      <c r="E48" s="13"/>
      <c r="F48" s="8" t="s">
        <v>490</v>
      </c>
      <c r="G48" s="14">
        <f>5*31+12*10+10*2</f>
        <v>295</v>
      </c>
      <c r="H48" s="13"/>
      <c r="I48" s="39" t="s">
        <v>456</v>
      </c>
      <c r="J48" s="46" t="s">
        <v>523</v>
      </c>
    </row>
    <row r="49" spans="1:10" ht="31.5" customHeight="1" x14ac:dyDescent="0.25">
      <c r="A49" s="20" t="s">
        <v>524</v>
      </c>
      <c r="B49" s="11">
        <v>43735</v>
      </c>
      <c r="C49" s="35" t="s">
        <v>481</v>
      </c>
      <c r="D49" s="39" t="s">
        <v>482</v>
      </c>
      <c r="E49" s="13" t="s">
        <v>526</v>
      </c>
      <c r="F49" s="8" t="s">
        <v>486</v>
      </c>
      <c r="G49" s="14">
        <f>67*15</f>
        <v>1005</v>
      </c>
      <c r="H49" s="13"/>
      <c r="I49" s="46" t="s">
        <v>13</v>
      </c>
      <c r="J49" s="46" t="s">
        <v>21</v>
      </c>
    </row>
    <row r="50" spans="1:10" ht="45" customHeight="1" x14ac:dyDescent="0.25">
      <c r="A50" s="20" t="s">
        <v>525</v>
      </c>
      <c r="B50" s="11">
        <v>43737</v>
      </c>
      <c r="C50" s="15" t="s">
        <v>528</v>
      </c>
      <c r="D50" s="39" t="s">
        <v>529</v>
      </c>
      <c r="E50" s="13"/>
      <c r="F50" s="8" t="s">
        <v>530</v>
      </c>
      <c r="G50" s="14">
        <f>54*50+300*20+18*10</f>
        <v>8880</v>
      </c>
      <c r="H50" s="13"/>
      <c r="I50" s="39" t="s">
        <v>456</v>
      </c>
      <c r="J50" s="46" t="s">
        <v>14</v>
      </c>
    </row>
    <row r="51" spans="1:10" ht="19.5" customHeight="1" x14ac:dyDescent="0.25">
      <c r="A51" s="20" t="s">
        <v>527</v>
      </c>
      <c r="B51" s="11">
        <v>43738</v>
      </c>
      <c r="C51" s="15" t="s">
        <v>531</v>
      </c>
      <c r="D51" s="39" t="s">
        <v>477</v>
      </c>
      <c r="E51" s="13" t="s">
        <v>532</v>
      </c>
      <c r="F51" s="8" t="s">
        <v>475</v>
      </c>
      <c r="G51" s="14">
        <f>1704*20</f>
        <v>34080</v>
      </c>
      <c r="H51" s="13"/>
      <c r="I51" s="46" t="s">
        <v>13</v>
      </c>
      <c r="J51" s="46" t="s">
        <v>14</v>
      </c>
    </row>
    <row r="52" spans="1:10" ht="28.5" customHeight="1" x14ac:dyDescent="0.25">
      <c r="A52" s="20" t="s">
        <v>533</v>
      </c>
      <c r="B52" s="11">
        <v>43726</v>
      </c>
      <c r="C52" s="15" t="s">
        <v>534</v>
      </c>
      <c r="D52" s="39" t="s">
        <v>535</v>
      </c>
      <c r="E52" s="13"/>
      <c r="F52" s="8" t="s">
        <v>475</v>
      </c>
      <c r="G52" s="14">
        <f>1.6*100+10*10</f>
        <v>260</v>
      </c>
      <c r="H52" s="13"/>
      <c r="I52" s="46" t="s">
        <v>15</v>
      </c>
      <c r="J52" s="46" t="s">
        <v>14</v>
      </c>
    </row>
    <row r="53" spans="1:10" ht="62.25" customHeight="1" x14ac:dyDescent="0.25">
      <c r="A53" s="20" t="s">
        <v>536</v>
      </c>
      <c r="B53" s="11">
        <v>43726</v>
      </c>
      <c r="C53" s="15" t="s">
        <v>534</v>
      </c>
      <c r="D53" s="39" t="s">
        <v>537</v>
      </c>
      <c r="E53" s="13"/>
      <c r="F53" s="8" t="s">
        <v>475</v>
      </c>
      <c r="G53" s="14">
        <f>5*100+9*100+7*10+4*50</f>
        <v>1670</v>
      </c>
      <c r="H53" s="13"/>
      <c r="I53" s="46" t="s">
        <v>15</v>
      </c>
      <c r="J53" s="46" t="s">
        <v>14</v>
      </c>
    </row>
    <row r="54" spans="1:10" ht="33" x14ac:dyDescent="0.25">
      <c r="A54" s="20" t="s">
        <v>538</v>
      </c>
      <c r="B54" s="11">
        <v>43735</v>
      </c>
      <c r="C54" s="15" t="s">
        <v>539</v>
      </c>
      <c r="D54" s="39" t="s">
        <v>540</v>
      </c>
      <c r="E54" s="13"/>
      <c r="F54" s="8" t="s">
        <v>475</v>
      </c>
      <c r="G54" s="14">
        <f>1.5*30+2*60+1.4*210+12*20+6.7*50</f>
        <v>1034</v>
      </c>
      <c r="H54" s="13"/>
      <c r="I54" s="46" t="s">
        <v>13</v>
      </c>
      <c r="J54" s="46" t="s">
        <v>14</v>
      </c>
    </row>
    <row r="55" spans="1:10" ht="19.5" x14ac:dyDescent="0.25">
      <c r="A55" s="20" t="s">
        <v>596</v>
      </c>
      <c r="B55" s="11">
        <v>43738</v>
      </c>
      <c r="C55" s="15" t="s">
        <v>510</v>
      </c>
      <c r="D55" s="39" t="s">
        <v>597</v>
      </c>
      <c r="E55" s="13"/>
      <c r="F55" s="8" t="s">
        <v>490</v>
      </c>
      <c r="G55" s="14"/>
      <c r="H55" s="13"/>
      <c r="I55" s="46" t="s">
        <v>13</v>
      </c>
      <c r="J55" s="46" t="s">
        <v>14</v>
      </c>
    </row>
    <row r="56" spans="1:10" ht="21" customHeight="1" x14ac:dyDescent="0.25">
      <c r="A56" s="10"/>
      <c r="B56" s="11"/>
      <c r="C56" s="15"/>
      <c r="D56" s="22" t="s">
        <v>42</v>
      </c>
      <c r="E56" s="13"/>
      <c r="F56" s="48"/>
      <c r="G56" s="14">
        <f>SUM(G4:G55)</f>
        <v>165672</v>
      </c>
      <c r="H56" s="13"/>
      <c r="I56" s="46"/>
      <c r="J56" s="46"/>
    </row>
    <row r="57" spans="1:10" ht="21" customHeight="1" x14ac:dyDescent="0.25">
      <c r="A57" s="23"/>
      <c r="B57" s="24"/>
      <c r="C57" s="25"/>
      <c r="D57" s="26"/>
      <c r="E57" s="27"/>
      <c r="F57" s="49"/>
      <c r="G57" s="28"/>
      <c r="H57" s="27"/>
      <c r="I57" s="38"/>
      <c r="J57" s="38"/>
    </row>
    <row r="58" spans="1:10" ht="19.5" x14ac:dyDescent="0.25">
      <c r="A58" s="17" t="s">
        <v>18</v>
      </c>
      <c r="B58" s="17"/>
      <c r="C58" s="17"/>
      <c r="D58" s="17"/>
      <c r="E58" s="17"/>
      <c r="F58" s="47"/>
      <c r="G58" s="17"/>
      <c r="H58" s="17"/>
      <c r="I58" s="47"/>
      <c r="J58" s="47"/>
    </row>
    <row r="626" spans="4:4" x14ac:dyDescent="0.25">
      <c r="D626" s="1" t="s">
        <v>28</v>
      </c>
    </row>
  </sheetData>
  <mergeCells count="2">
    <mergeCell ref="A1:J1"/>
    <mergeCell ref="A2:J2"/>
  </mergeCells>
  <phoneticPr fontId="4" type="noConversion"/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18</vt:i4>
      </vt:variant>
    </vt:vector>
  </HeadingPairs>
  <TitlesOfParts>
    <vt:vector size="3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 </vt:lpstr>
      <vt:lpstr>'10月'!Print_Area</vt:lpstr>
      <vt:lpstr>'11月'!Print_Area</vt:lpstr>
      <vt:lpstr>'12月 '!Print_Area</vt:lpstr>
      <vt:lpstr>'1月'!Print_Area</vt:lpstr>
      <vt:lpstr>'7月'!Print_Area</vt:lpstr>
      <vt:lpstr>'9月'!Print_Area</vt:lpstr>
      <vt:lpstr>'10月'!Print_Titles</vt:lpstr>
      <vt:lpstr>'11月'!Print_Titles</vt:lpstr>
      <vt:lpstr>'12月 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NO12</dc:creator>
  <cp:lastModifiedBy>NO02</cp:lastModifiedBy>
  <cp:lastPrinted>2020-06-02T06:43:15Z</cp:lastPrinted>
  <dcterms:created xsi:type="dcterms:W3CDTF">2017-02-18T01:14:16Z</dcterms:created>
  <dcterms:modified xsi:type="dcterms:W3CDTF">2020-06-09T07:32:37Z</dcterms:modified>
</cp:coreProperties>
</file>